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i unidad\Cosas Ariel\"/>
    </mc:Choice>
  </mc:AlternateContent>
  <xr:revisionPtr revIDLastSave="0" documentId="8_{B8113968-F3A4-49D8-B532-288BD71D34E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icio" sheetId="1" r:id="rId1"/>
    <sheet name="Servicio de HyS (excepto Const)" sheetId="3" r:id="rId2"/>
    <sheet name="Servicio de HyS Constr" sheetId="5" r:id="rId3"/>
    <sheet name="Medicion de Iluminacion" sheetId="4" r:id="rId4"/>
    <sheet name="Medicion de Ruido Laboral" sheetId="2" r:id="rId5"/>
    <sheet name="Medicion de Puesta a Tierra" sheetId="8" r:id="rId6"/>
    <sheet name="Ergonomia" sheetId="12" r:id="rId7"/>
    <sheet name="Carga Termica" sheetId="11" r:id="rId8"/>
    <sheet name="Traslado" sheetId="9" r:id="rId9"/>
    <sheet name="calculos" sheetId="6" state="very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6" l="1"/>
  <c r="F4" i="6" l="1"/>
  <c r="N33" i="6"/>
  <c r="L26" i="6" s="1"/>
  <c r="D5" i="6"/>
  <c r="B4" i="6"/>
  <c r="L27" i="6" l="1"/>
  <c r="D5" i="9" s="1"/>
  <c r="L36" i="6"/>
  <c r="N36" i="6" s="1"/>
  <c r="G42" i="6"/>
  <c r="N37" i="6" l="1"/>
  <c r="I36" i="6"/>
  <c r="F4" i="12" s="1"/>
  <c r="B37" i="6"/>
  <c r="D37" i="6" s="1"/>
  <c r="H27" i="6"/>
  <c r="H26" i="6"/>
  <c r="I26" i="6" s="1"/>
  <c r="H28" i="6" s="1" a="1"/>
  <c r="H28" i="6" s="1"/>
  <c r="L37" i="6" l="1"/>
  <c r="K42" i="6" s="1"/>
  <c r="K43" i="6" s="1"/>
  <c r="D4" i="11" s="1"/>
  <c r="H30" i="6"/>
  <c r="I28" i="6" s="1"/>
  <c r="D8" i="8" s="1"/>
  <c r="E37" i="6"/>
  <c r="B38" i="6" s="1"/>
  <c r="D11" i="9" s="1"/>
  <c r="D26" i="6" a="1"/>
  <c r="D26" i="6" s="1"/>
  <c r="G7" i="5" s="1"/>
  <c r="F5" i="6"/>
  <c r="E7" i="3" s="1"/>
  <c r="D15" i="6"/>
  <c r="D16" i="6" s="1"/>
  <c r="D17" i="6" s="1"/>
  <c r="D18" i="6" s="1"/>
  <c r="D13" i="2" s="1"/>
  <c r="D6" i="6"/>
  <c r="D7" i="6" s="1"/>
  <c r="D8" i="6" s="1"/>
  <c r="B5" i="6"/>
  <c r="B9" i="6" s="1"/>
  <c r="B10" i="6" s="1"/>
  <c r="D5" i="4" s="1"/>
  <c r="D5" i="2" l="1"/>
  <c r="D29" i="6" a="1"/>
  <c r="D29" i="6" s="1"/>
  <c r="G10" i="5" s="1"/>
  <c r="D25" i="6" a="1"/>
  <c r="D25" i="6" s="1"/>
  <c r="G6" i="5" s="1"/>
  <c r="D28" i="6" a="1"/>
  <c r="D28" i="6" s="1"/>
  <c r="G9" i="5" s="1"/>
  <c r="D27" i="6" a="1"/>
  <c r="D27" i="6" s="1"/>
  <c r="G8" i="5" s="1"/>
  <c r="D30" i="6" a="1"/>
  <c r="D30" i="6" s="1"/>
  <c r="F6" i="6"/>
  <c r="E8" i="3" s="1"/>
  <c r="E6" i="3"/>
  <c r="H4" i="6"/>
  <c r="L4" i="6"/>
  <c r="L5" i="6" l="1"/>
  <c r="I7" i="3" s="1"/>
  <c r="I6" i="3"/>
  <c r="G6" i="3"/>
  <c r="H5" i="6"/>
  <c r="G7" i="3" s="1"/>
  <c r="F7" i="6"/>
  <c r="E9" i="3" s="1"/>
  <c r="F8" i="6" l="1"/>
  <c r="E10" i="3" s="1"/>
  <c r="H6" i="6"/>
  <c r="G8" i="3" s="1"/>
  <c r="L6" i="6"/>
  <c r="I8" i="3" s="1"/>
  <c r="L7" i="6" l="1"/>
  <c r="I9" i="3" s="1"/>
  <c r="H7" i="6"/>
  <c r="G9" i="3" s="1"/>
  <c r="F9" i="6"/>
  <c r="E11" i="3" s="1"/>
  <c r="F10" i="6" l="1"/>
  <c r="E12" i="3" s="1"/>
  <c r="H8" i="6"/>
  <c r="G10" i="3" s="1"/>
  <c r="L8" i="6"/>
  <c r="I10" i="3" s="1"/>
  <c r="L9" i="6" l="1"/>
  <c r="I11" i="3" s="1"/>
  <c r="H9" i="6"/>
  <c r="G11" i="3" s="1"/>
  <c r="F11" i="6"/>
  <c r="E13" i="3" s="1"/>
  <c r="F12" i="6" l="1"/>
  <c r="E14" i="3" s="1"/>
  <c r="H10" i="6"/>
  <c r="G12" i="3" s="1"/>
  <c r="L10" i="6"/>
  <c r="I12" i="3" s="1"/>
  <c r="L11" i="6" l="1"/>
  <c r="I13" i="3" s="1"/>
  <c r="H11" i="6"/>
  <c r="G13" i="3" s="1"/>
  <c r="F13" i="6"/>
  <c r="F14" i="6" l="1"/>
  <c r="E15" i="3"/>
  <c r="H12" i="6"/>
  <c r="G14" i="3" s="1"/>
  <c r="L12" i="6"/>
  <c r="I14" i="3" s="1"/>
  <c r="F15" i="6" l="1"/>
  <c r="E16" i="3"/>
  <c r="L13" i="6"/>
  <c r="I15" i="3" s="1"/>
  <c r="H13" i="6"/>
  <c r="G15" i="3" s="1"/>
  <c r="F16" i="6" l="1"/>
  <c r="E17" i="3"/>
  <c r="H14" i="6"/>
  <c r="G16" i="3" s="1"/>
  <c r="L14" i="6"/>
  <c r="I16" i="3" s="1"/>
  <c r="F17" i="6" l="1"/>
  <c r="E18" i="3"/>
  <c r="L15" i="6"/>
  <c r="I17" i="3" s="1"/>
  <c r="H15" i="6"/>
  <c r="G17" i="3" s="1"/>
  <c r="H16" i="6" l="1"/>
  <c r="G18" i="3" s="1"/>
  <c r="L16" i="6"/>
  <c r="I18" i="3" s="1"/>
  <c r="L17" i="6" l="1"/>
  <c r="H17" i="6"/>
  <c r="L18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Actualizar periodicamente cada vez que se publique el nuevo indice.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4" authorId="0" shapeId="0" xr:uid="{00000000-0006-0000-0500-000001000000}">
      <text>
        <r>
          <rPr>
            <b/>
            <sz val="10"/>
            <color indexed="81"/>
            <rFont val="Tahoma"/>
            <family val="2"/>
          </rPr>
          <t>Cantidad de jabalinas "Dentro del mismo Predio"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 Cantidad de DD relevados dentro del Establecimiento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Insertar Distancia en Km desde el domicilio del Profesional hasta el Lugar de Trabajo</t>
        </r>
      </text>
    </comment>
    <comment ref="F4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Elegir tipo de vehiculo</t>
        </r>
      </text>
    </comment>
    <comment ref="H4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Elegir Tipo de Camino</t>
        </r>
      </text>
    </comment>
    <comment ref="C6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 xml:space="preserve">colocar el valor del litro de combustible utilizado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4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Valor Base
</t>
        </r>
      </text>
    </comment>
    <comment ref="F4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Valor Base</t>
        </r>
      </text>
    </comment>
    <comment ref="D5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Valor Base
</t>
        </r>
      </text>
    </comment>
    <comment ref="D15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Valor Base</t>
        </r>
      </text>
    </comment>
    <comment ref="B25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Valor Base</t>
        </r>
      </text>
    </comment>
    <comment ref="H26" authorId="0" shapeId="0" xr:uid="{00000000-0006-0000-0900-000006000000}">
      <text>
        <r>
          <rPr>
            <b/>
            <sz val="9"/>
            <color indexed="81"/>
            <rFont val="Tahoma"/>
            <family val="2"/>
          </rPr>
          <t xml:space="preserve">Valor de Base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2" authorId="0" shapeId="0" xr:uid="{00000000-0006-0000-0900-000007000000}">
      <text>
        <r>
          <rPr>
            <sz val="9"/>
            <color indexed="81"/>
            <rFont val="Tahoma"/>
            <family val="2"/>
          </rPr>
          <t xml:space="preserve">Actualizar periodicamente cada vez que se publique el nuevo indice.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<sst xmlns="http://schemas.openxmlformats.org/spreadsheetml/2006/main" count="143" uniqueCount="98">
  <si>
    <t>Cantidad de Mediciones</t>
  </si>
  <si>
    <t>Valor del Trabajo</t>
  </si>
  <si>
    <t>Medicion de Iluminacion en Ambiente Laboral</t>
  </si>
  <si>
    <t>Horario Nocturno ( de 22 a 6 hs)</t>
  </si>
  <si>
    <t>si</t>
  </si>
  <si>
    <t>no</t>
  </si>
  <si>
    <t>Medición de ruido emitido por vehículos automotores, motovehículos, camiones, transporte de pasajeros y maquinaria agrícola.</t>
  </si>
  <si>
    <t>Cantidad de trabajadores equivalentes</t>
  </si>
  <si>
    <t>Categoria A</t>
  </si>
  <si>
    <t>Categoria B</t>
  </si>
  <si>
    <t>Categoria C</t>
  </si>
  <si>
    <t>Cap 5,6,11,12,14,18 a 21</t>
  </si>
  <si>
    <t>Cap 5,6,7,11 a 21</t>
  </si>
  <si>
    <t>Cap 5 al 21</t>
  </si>
  <si>
    <t>1 a 15</t>
  </si>
  <si>
    <t>16 a 30</t>
  </si>
  <si>
    <t>31 a 60</t>
  </si>
  <si>
    <t>61 a 100</t>
  </si>
  <si>
    <t>101 a 150</t>
  </si>
  <si>
    <t>151 a 250</t>
  </si>
  <si>
    <t>251 a 350</t>
  </si>
  <si>
    <t>351 a 500</t>
  </si>
  <si>
    <t>501 a 650</t>
  </si>
  <si>
    <t>651 a 850</t>
  </si>
  <si>
    <t>851 a 1100</t>
  </si>
  <si>
    <t>1101 a 1400</t>
  </si>
  <si>
    <t>Honorario Minimo en Pesos</t>
  </si>
  <si>
    <t xml:space="preserve">Cantidad de trabajadores </t>
  </si>
  <si>
    <t>16 a 50</t>
  </si>
  <si>
    <t>51 a 100</t>
  </si>
  <si>
    <t>Honorario Mensual Minimo</t>
  </si>
  <si>
    <t>Cantidad  Minima de horas Mensuales</t>
  </si>
  <si>
    <t>Asesoramiento, Mapa de Riesgo (RGRL, Análisis y evaluación de riesgos por puestos de trabajo), Confección de Procedimientos e Instructivos de Trabajo Seguro, Plan de Capacitación al Personal, Investigaciones de Accidentes, Informes de Visita, Verificación Edilicia y de Servicios, Control Estadístico, Confección de Listas de Control.</t>
  </si>
  <si>
    <t>Los Honorarios Incluyen:</t>
  </si>
  <si>
    <t>Los honorarios de referencia NO incluyen:</t>
  </si>
  <si>
    <t>Estudio de Protección Contra Incendio, Mediciones de Medio Ambiente Laboral (ruido, iluminación, confort térmico, concentración de contaminantes, termografía, etc) ni Pericias.</t>
  </si>
  <si>
    <t>Confección del Programa de Seguridad</t>
  </si>
  <si>
    <t>Iluminacion</t>
  </si>
  <si>
    <t>Ruido</t>
  </si>
  <si>
    <t>Laboral</t>
  </si>
  <si>
    <t>Motovehiculos</t>
  </si>
  <si>
    <t>Honorarios HyS No Construccion</t>
  </si>
  <si>
    <t>HyS construccion</t>
  </si>
  <si>
    <t>Servicio de Higiene y Seguridad, incluye:</t>
  </si>
  <si>
    <t>Servicio de Higiene y Seguridad, NO incluye:</t>
  </si>
  <si>
    <t>Confeccion del Protocolo Correspondiente, Croquis de los puntos de medicion, Certificado de Calibracion del Instrumento</t>
  </si>
  <si>
    <t>Medicion de Ruido en Ambiente Laboral</t>
  </si>
  <si>
    <t>Servicio Higiene y Seguridad Construccion</t>
  </si>
  <si>
    <t>Servicio Higiene y Seguridad ( No Construccion)</t>
  </si>
  <si>
    <t>Medicion de Ruido Laboral</t>
  </si>
  <si>
    <t>INICIO</t>
  </si>
  <si>
    <t>Contenido (Hacer click en el enlace deseado)</t>
  </si>
  <si>
    <t>Medicion de Puesta a Tierra</t>
  </si>
  <si>
    <t>Cantidad de Jabalinas</t>
  </si>
  <si>
    <t>Medicion de PAT</t>
  </si>
  <si>
    <t>Valor de la Medicion</t>
  </si>
  <si>
    <t>Cantidad de DD sometidos a prueba de disparo</t>
  </si>
  <si>
    <t>Valor del viaje</t>
  </si>
  <si>
    <t>Traslados</t>
  </si>
  <si>
    <t>Dia de Trabajo, Capacitaciones, Inspecciones</t>
  </si>
  <si>
    <t xml:space="preserve">Dias </t>
  </si>
  <si>
    <t>Valor :</t>
  </si>
  <si>
    <t>Dias de trabajo Inspecciones Capacitaciones</t>
  </si>
  <si>
    <t>Traslado, Dias de Trabajo, Capacitaciones, Inspecciones</t>
  </si>
  <si>
    <t xml:space="preserve">Los valores indicados no incluyen los gastos de traslado, que pueden calcularse haciendo click aquí </t>
  </si>
  <si>
    <t>Cantidad de Masas Electricas y Extrañas verificadas</t>
  </si>
  <si>
    <t>Gastos de Traslados</t>
  </si>
  <si>
    <t xml:space="preserve">Medicion de Carga Termica </t>
  </si>
  <si>
    <t>Cantidad de Puestos a Medir</t>
  </si>
  <si>
    <t>Estrés Termico</t>
  </si>
  <si>
    <t>Puntos</t>
  </si>
  <si>
    <t>Valor</t>
  </si>
  <si>
    <t>Base</t>
  </si>
  <si>
    <t>% incremento</t>
  </si>
  <si>
    <t>factor multi</t>
  </si>
  <si>
    <t>Indice</t>
  </si>
  <si>
    <t>Nota: El Valor del trabajo aumenta cada 5 puntos de medicion</t>
  </si>
  <si>
    <t xml:space="preserve">Kilometros al lugar de la tarea </t>
  </si>
  <si>
    <t>Tipo de vehiculo</t>
  </si>
  <si>
    <t>Auto Mediano</t>
  </si>
  <si>
    <t>Camioneta</t>
  </si>
  <si>
    <t>Litro Combustible:</t>
  </si>
  <si>
    <t>Ergonomia</t>
  </si>
  <si>
    <t>Estudio Ergonomico</t>
  </si>
  <si>
    <t>Cantidad de Puestos a Evaluar</t>
  </si>
  <si>
    <t>Estudio Ergonomico Integrado de Puestos y Tareas</t>
  </si>
  <si>
    <t>Tipo de Camino</t>
  </si>
  <si>
    <t>Ripio/Tierra</t>
  </si>
  <si>
    <t>Asfalto</t>
  </si>
  <si>
    <t>Brecha/Huella</t>
  </si>
  <si>
    <t>Los honorarios por confección del programa de seguridad corresponderán al 100% del valor de referencia del servicio a dirigir. El mismo deberá ser facturado de manera independiente una vez recibido el programa aprobado por la A.R.T.</t>
  </si>
  <si>
    <t>Confeccion del Protocolo Correspondiente, Croquis de los puntos de medicion, Certificado de Calibracion del Instrumento, Medicion de tiempos de disparo de los DD, verificacion de continuidad de masas de Bocas .</t>
  </si>
  <si>
    <t>1 a 7</t>
  </si>
  <si>
    <t>Cronograma de capacitaciones , analisis de Riesgos, capacitación, informes de visita, simulacro de extinción y evacuación</t>
  </si>
  <si>
    <t>8 a 15</t>
  </si>
  <si>
    <t>Coeficiente de Actualizacion:</t>
  </si>
  <si>
    <t>El Coeficiente de Actualizacion estará calculado Por el Consejo Profesional de Ingenieros y Geológos de Mendoza. Cada vez que este cambie, deberá ser modificado en esta hoja a fin de mantener las tablas de honorarios actualizados.</t>
  </si>
  <si>
    <t>HONORARIOS MINIMOS SUGERIDOS DE HIGIENE Y SEGURIDAD EN 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</si>
</sst>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\ #,##0.00"/>
    <numFmt numFmtId="165" formatCode="0.000"/>
    <numFmt numFmtId="166" formatCode="0.0"/>
    <numFmt numFmtId="167" formatCode="&quot;$&quot;\ #,##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b/>
      <i/>
      <u/>
      <sz val="11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1"/>
      <name val="Tahoma"/>
      <family val="2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36"/>
      <color theme="0" tint="-0.249977111117893"/>
      <name val="Calibri"/>
      <family val="2"/>
      <scheme val="minor"/>
    </font>
    <font>
      <sz val="20"/>
      <color theme="0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F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4">
    <xf numFmtId="0" fontId="0" fillId="0" borderId="0" xfId="0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0" fontId="1" fillId="0" borderId="0" xfId="0" applyFont="1"/>
    <xf numFmtId="0" fontId="0" fillId="0" borderId="11" xfId="0" applyBorder="1"/>
    <xf numFmtId="0" fontId="0" fillId="0" borderId="13" xfId="0" applyBorder="1"/>
    <xf numFmtId="0" fontId="1" fillId="9" borderId="0" xfId="0" applyFont="1" applyFill="1" applyBorder="1" applyAlignment="1"/>
    <xf numFmtId="0" fontId="1" fillId="9" borderId="36" xfId="0" applyFont="1" applyFill="1" applyBorder="1" applyAlignment="1"/>
    <xf numFmtId="164" fontId="0" fillId="9" borderId="0" xfId="0" applyNumberFormat="1" applyFill="1" applyBorder="1" applyAlignment="1"/>
    <xf numFmtId="0" fontId="0" fillId="9" borderId="0" xfId="0" applyFill="1" applyBorder="1" applyAlignment="1"/>
    <xf numFmtId="0" fontId="1" fillId="3" borderId="37" xfId="0" applyFont="1" applyFill="1" applyBorder="1"/>
    <xf numFmtId="0" fontId="0" fillId="14" borderId="38" xfId="0" applyFill="1" applyBorder="1"/>
    <xf numFmtId="0" fontId="0" fillId="0" borderId="38" xfId="0" applyBorder="1"/>
    <xf numFmtId="0" fontId="0" fillId="0" borderId="39" xfId="0" applyBorder="1"/>
    <xf numFmtId="0" fontId="0" fillId="13" borderId="37" xfId="0" applyFill="1" applyBorder="1"/>
    <xf numFmtId="4" fontId="0" fillId="0" borderId="11" xfId="0" applyNumberFormat="1" applyBorder="1"/>
    <xf numFmtId="0" fontId="0" fillId="0" borderId="33" xfId="0" applyBorder="1"/>
    <xf numFmtId="4" fontId="0" fillId="0" borderId="0" xfId="0" applyNumberFormat="1" applyBorder="1"/>
    <xf numFmtId="165" fontId="0" fillId="0" borderId="0" xfId="0" applyNumberFormat="1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14" borderId="12" xfId="0" applyFill="1" applyBorder="1"/>
    <xf numFmtId="0" fontId="1" fillId="11" borderId="11" xfId="0" applyFont="1" applyFill="1" applyBorder="1" applyAlignment="1">
      <alignment vertical="center" wrapText="1"/>
    </xf>
    <xf numFmtId="0" fontId="1" fillId="11" borderId="0" xfId="0" applyFont="1" applyFill="1" applyBorder="1" applyAlignment="1">
      <alignment vertical="center" wrapText="1"/>
    </xf>
    <xf numFmtId="0" fontId="1" fillId="11" borderId="15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4" fontId="0" fillId="0" borderId="17" xfId="0" applyNumberFormat="1" applyBorder="1"/>
    <xf numFmtId="165" fontId="0" fillId="0" borderId="27" xfId="0" applyNumberFormat="1" applyBorder="1" applyAlignment="1"/>
    <xf numFmtId="165" fontId="0" fillId="0" borderId="40" xfId="0" applyNumberFormat="1" applyBorder="1" applyAlignment="1"/>
    <xf numFmtId="165" fontId="0" fillId="0" borderId="41" xfId="0" applyNumberFormat="1" applyBorder="1" applyAlignment="1"/>
    <xf numFmtId="0" fontId="0" fillId="9" borderId="0" xfId="0" applyFill="1" applyBorder="1" applyAlignment="1">
      <alignment wrapText="1"/>
    </xf>
    <xf numFmtId="0" fontId="9" fillId="2" borderId="1" xfId="1" applyFont="1" applyFill="1" applyBorder="1"/>
    <xf numFmtId="4" fontId="0" fillId="0" borderId="33" xfId="0" applyNumberFormat="1" applyBorder="1"/>
    <xf numFmtId="4" fontId="0" fillId="15" borderId="33" xfId="0" applyNumberFormat="1" applyFill="1" applyBorder="1"/>
    <xf numFmtId="4" fontId="0" fillId="0" borderId="14" xfId="0" applyNumberFormat="1" applyBorder="1"/>
    <xf numFmtId="0" fontId="3" fillId="0" borderId="17" xfId="0" applyFont="1" applyBorder="1"/>
    <xf numFmtId="0" fontId="10" fillId="2" borderId="1" xfId="1" applyFont="1" applyFill="1" applyBorder="1" applyProtection="1">
      <protection locked="0"/>
    </xf>
    <xf numFmtId="1" fontId="0" fillId="0" borderId="5" xfId="0" applyNumberFormat="1" applyBorder="1" applyAlignment="1" applyProtection="1">
      <alignment horizontal="center"/>
      <protection locked="0"/>
    </xf>
    <xf numFmtId="4" fontId="0" fillId="2" borderId="6" xfId="0" applyNumberFormat="1" applyFill="1" applyBorder="1" applyProtection="1"/>
    <xf numFmtId="0" fontId="0" fillId="0" borderId="5" xfId="0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64" fontId="1" fillId="2" borderId="6" xfId="0" applyNumberFormat="1" applyFont="1" applyFill="1" applyBorder="1" applyProtection="1"/>
    <xf numFmtId="0" fontId="0" fillId="9" borderId="0" xfId="0" applyFill="1" applyBorder="1" applyAlignment="1" applyProtection="1">
      <protection locked="0"/>
    </xf>
    <xf numFmtId="0" fontId="1" fillId="0" borderId="0" xfId="0" applyFont="1" applyBorder="1" applyProtection="1"/>
    <xf numFmtId="0" fontId="1" fillId="2" borderId="4" xfId="0" applyFont="1" applyFill="1" applyBorder="1" applyProtection="1">
      <protection locked="0"/>
    </xf>
    <xf numFmtId="0" fontId="0" fillId="0" borderId="0" xfId="0" applyProtection="1"/>
    <xf numFmtId="0" fontId="0" fillId="0" borderId="0" xfId="0" quotePrefix="1" applyFill="1" applyAlignment="1" applyProtection="1">
      <alignment horizontal="left"/>
    </xf>
    <xf numFmtId="0" fontId="0" fillId="0" borderId="0" xfId="0" applyAlignment="1" applyProtection="1">
      <alignment horizontal="left"/>
    </xf>
    <xf numFmtId="1" fontId="0" fillId="0" borderId="46" xfId="0" applyNumberForma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/>
    <xf numFmtId="0" fontId="0" fillId="2" borderId="3" xfId="0" applyFill="1" applyBorder="1" applyAlignment="1" applyProtection="1"/>
    <xf numFmtId="0" fontId="0" fillId="0" borderId="17" xfId="0" applyBorder="1"/>
    <xf numFmtId="0" fontId="1" fillId="9" borderId="0" xfId="0" applyFont="1" applyFill="1" applyBorder="1" applyProtection="1">
      <protection locked="0"/>
    </xf>
    <xf numFmtId="0" fontId="0" fillId="0" borderId="2" xfId="0" applyBorder="1"/>
    <xf numFmtId="0" fontId="0" fillId="0" borderId="13" xfId="0" applyBorder="1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1" fillId="16" borderId="17" xfId="0" applyFont="1" applyFill="1" applyBorder="1" applyAlignment="1" applyProtection="1"/>
    <xf numFmtId="0" fontId="1" fillId="9" borderId="0" xfId="0" applyFont="1" applyFill="1" applyBorder="1" applyAlignment="1" applyProtection="1"/>
    <xf numFmtId="1" fontId="0" fillId="0" borderId="17" xfId="0" applyNumberFormat="1" applyBorder="1"/>
    <xf numFmtId="0" fontId="1" fillId="3" borderId="17" xfId="0" applyFont="1" applyFill="1" applyBorder="1" applyAlignment="1"/>
    <xf numFmtId="0" fontId="1" fillId="3" borderId="17" xfId="0" applyFont="1" applyFill="1" applyBorder="1"/>
    <xf numFmtId="167" fontId="1" fillId="2" borderId="17" xfId="0" applyNumberFormat="1" applyFont="1" applyFill="1" applyBorder="1"/>
    <xf numFmtId="0" fontId="1" fillId="2" borderId="17" xfId="0" applyFont="1" applyFill="1" applyBorder="1" applyProtection="1">
      <protection locked="0"/>
    </xf>
    <xf numFmtId="0" fontId="1" fillId="21" borderId="17" xfId="0" applyFont="1" applyFill="1" applyBorder="1" applyProtection="1"/>
    <xf numFmtId="164" fontId="1" fillId="9" borderId="0" xfId="0" applyNumberFormat="1" applyFont="1" applyFill="1" applyBorder="1" applyProtection="1"/>
    <xf numFmtId="167" fontId="1" fillId="2" borderId="1" xfId="0" applyNumberFormat="1" applyFont="1" applyFill="1" applyBorder="1" applyProtection="1"/>
    <xf numFmtId="0" fontId="1" fillId="0" borderId="52" xfId="0" applyFont="1" applyBorder="1" applyProtection="1">
      <protection locked="0"/>
    </xf>
    <xf numFmtId="0" fontId="2" fillId="0" borderId="0" xfId="1" applyProtection="1">
      <protection locked="0"/>
    </xf>
    <xf numFmtId="0" fontId="2" fillId="2" borderId="1" xfId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16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2" fillId="0" borderId="0" xfId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33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35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/>
    </xf>
    <xf numFmtId="0" fontId="1" fillId="5" borderId="2" xfId="0" applyFont="1" applyFill="1" applyBorder="1" applyAlignment="1" applyProtection="1">
      <alignment horizontal="center"/>
    </xf>
    <xf numFmtId="0" fontId="1" fillId="5" borderId="4" xfId="0" applyFont="1" applyFill="1" applyBorder="1" applyAlignment="1" applyProtection="1">
      <alignment horizontal="center"/>
    </xf>
    <xf numFmtId="0" fontId="1" fillId="6" borderId="12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wrapText="1"/>
    </xf>
    <xf numFmtId="0" fontId="0" fillId="10" borderId="13" xfId="0" applyFill="1" applyBorder="1" applyAlignment="1">
      <alignment horizontal="center" wrapText="1"/>
    </xf>
    <xf numFmtId="0" fontId="0" fillId="10" borderId="0" xfId="0" applyFill="1" applyBorder="1" applyAlignment="1">
      <alignment horizontal="center" wrapText="1"/>
    </xf>
    <xf numFmtId="0" fontId="0" fillId="10" borderId="35" xfId="0" applyFill="1" applyBorder="1" applyAlignment="1">
      <alignment horizontal="center" wrapText="1"/>
    </xf>
    <xf numFmtId="0" fontId="0" fillId="10" borderId="15" xfId="0" applyFill="1" applyBorder="1" applyAlignment="1">
      <alignment horizontal="center" wrapText="1"/>
    </xf>
    <xf numFmtId="0" fontId="0" fillId="10" borderId="16" xfId="0" applyFill="1" applyBorder="1" applyAlignment="1">
      <alignment horizontal="center" wrapText="1"/>
    </xf>
    <xf numFmtId="49" fontId="14" fillId="17" borderId="12" xfId="1" applyNumberFormat="1" applyFont="1" applyFill="1" applyBorder="1" applyAlignment="1">
      <alignment horizontal="center" vertical="center" wrapText="1"/>
    </xf>
    <xf numFmtId="49" fontId="14" fillId="17" borderId="11" xfId="1" applyNumberFormat="1" applyFont="1" applyFill="1" applyBorder="1" applyAlignment="1">
      <alignment horizontal="center" vertical="center" wrapText="1"/>
    </xf>
    <xf numFmtId="49" fontId="14" fillId="17" borderId="13" xfId="1" applyNumberFormat="1" applyFont="1" applyFill="1" applyBorder="1" applyAlignment="1">
      <alignment horizontal="center" vertical="center" wrapText="1"/>
    </xf>
    <xf numFmtId="49" fontId="14" fillId="17" borderId="33" xfId="1" applyNumberFormat="1" applyFont="1" applyFill="1" applyBorder="1" applyAlignment="1">
      <alignment horizontal="center" vertical="center" wrapText="1"/>
    </xf>
    <xf numFmtId="49" fontId="14" fillId="17" borderId="0" xfId="1" applyNumberFormat="1" applyFont="1" applyFill="1" applyBorder="1" applyAlignment="1">
      <alignment horizontal="center" vertical="center" wrapText="1"/>
    </xf>
    <xf numFmtId="49" fontId="14" fillId="17" borderId="35" xfId="1" applyNumberFormat="1" applyFont="1" applyFill="1" applyBorder="1" applyAlignment="1">
      <alignment horizontal="center" vertical="center" wrapText="1"/>
    </xf>
    <xf numFmtId="49" fontId="14" fillId="17" borderId="14" xfId="1" applyNumberFormat="1" applyFont="1" applyFill="1" applyBorder="1" applyAlignment="1">
      <alignment horizontal="center" vertical="center" wrapText="1"/>
    </xf>
    <xf numFmtId="49" fontId="14" fillId="17" borderId="15" xfId="1" applyNumberFormat="1" applyFont="1" applyFill="1" applyBorder="1" applyAlignment="1">
      <alignment horizontal="center" vertical="center" wrapText="1"/>
    </xf>
    <xf numFmtId="49" fontId="14" fillId="17" borderId="16" xfId="1" applyNumberFormat="1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wrapText="1"/>
    </xf>
    <xf numFmtId="0" fontId="1" fillId="6" borderId="21" xfId="0" applyFont="1" applyFill="1" applyBorder="1" applyAlignment="1">
      <alignment horizontal="center" wrapText="1"/>
    </xf>
    <xf numFmtId="0" fontId="1" fillId="6" borderId="22" xfId="0" applyFont="1" applyFill="1" applyBorder="1" applyAlignment="1">
      <alignment horizontal="center" wrapText="1"/>
    </xf>
    <xf numFmtId="0" fontId="1" fillId="6" borderId="17" xfId="0" applyFont="1" applyFill="1" applyBorder="1" applyAlignment="1">
      <alignment horizontal="center" wrapText="1"/>
    </xf>
    <xf numFmtId="0" fontId="1" fillId="7" borderId="2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17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164" fontId="0" fillId="8" borderId="18" xfId="0" applyNumberFormat="1" applyFill="1" applyBorder="1" applyAlignment="1">
      <alignment horizontal="right"/>
    </xf>
    <xf numFmtId="164" fontId="0" fillId="8" borderId="19" xfId="0" applyNumberFormat="1" applyFill="1" applyBorder="1" applyAlignment="1">
      <alignment horizontal="right"/>
    </xf>
    <xf numFmtId="0" fontId="0" fillId="6" borderId="47" xfId="0" applyFill="1" applyBorder="1" applyAlignment="1">
      <alignment horizontal="center"/>
    </xf>
    <xf numFmtId="0" fontId="0" fillId="6" borderId="51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164" fontId="0" fillId="8" borderId="17" xfId="0" applyNumberFormat="1" applyFill="1" applyBorder="1" applyAlignment="1">
      <alignment horizontal="right"/>
    </xf>
    <xf numFmtId="164" fontId="0" fillId="8" borderId="26" xfId="0" applyNumberFormat="1" applyFill="1" applyBorder="1" applyAlignment="1">
      <alignment horizontal="right"/>
    </xf>
    <xf numFmtId="0" fontId="0" fillId="6" borderId="22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164" fontId="0" fillId="9" borderId="0" xfId="0" applyNumberFormat="1" applyFill="1" applyBorder="1" applyAlignment="1">
      <alignment horizontal="right"/>
    </xf>
    <xf numFmtId="0" fontId="1" fillId="6" borderId="20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0" fillId="10" borderId="21" xfId="0" applyFill="1" applyBorder="1" applyAlignment="1">
      <alignment horizontal="center" wrapText="1"/>
    </xf>
    <xf numFmtId="0" fontId="0" fillId="10" borderId="5" xfId="0" applyFill="1" applyBorder="1" applyAlignment="1">
      <alignment horizontal="center" wrapText="1"/>
    </xf>
    <xf numFmtId="0" fontId="0" fillId="10" borderId="17" xfId="0" applyFill="1" applyBorder="1" applyAlignment="1">
      <alignment horizontal="center" wrapText="1"/>
    </xf>
    <xf numFmtId="0" fontId="0" fillId="10" borderId="23" xfId="0" applyFill="1" applyBorder="1" applyAlignment="1">
      <alignment horizontal="center" wrapText="1"/>
    </xf>
    <xf numFmtId="0" fontId="0" fillId="10" borderId="25" xfId="0" applyFill="1" applyBorder="1" applyAlignment="1">
      <alignment horizontal="center" wrapText="1"/>
    </xf>
    <xf numFmtId="0" fontId="0" fillId="10" borderId="6" xfId="0" applyFill="1" applyBorder="1" applyAlignment="1">
      <alignment horizontal="center" wrapText="1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164" fontId="0" fillId="8" borderId="18" xfId="0" applyNumberFormat="1" applyFill="1" applyBorder="1" applyAlignment="1" applyProtection="1">
      <alignment horizontal="right"/>
    </xf>
    <xf numFmtId="164" fontId="0" fillId="8" borderId="26" xfId="0" applyNumberFormat="1" applyFill="1" applyBorder="1" applyAlignment="1" applyProtection="1">
      <alignment horizontal="right"/>
    </xf>
    <xf numFmtId="0" fontId="0" fillId="6" borderId="22" xfId="0" applyFill="1" applyBorder="1" applyAlignment="1" applyProtection="1">
      <alignment horizontal="center"/>
    </xf>
    <xf numFmtId="0" fontId="0" fillId="6" borderId="17" xfId="0" applyFill="1" applyBorder="1" applyAlignment="1" applyProtection="1">
      <alignment horizontal="center"/>
    </xf>
    <xf numFmtId="0" fontId="0" fillId="6" borderId="23" xfId="0" applyFill="1" applyBorder="1" applyAlignment="1" applyProtection="1">
      <alignment horizontal="center"/>
    </xf>
    <xf numFmtId="166" fontId="0" fillId="8" borderId="22" xfId="0" applyNumberFormat="1" applyFill="1" applyBorder="1" applyAlignment="1" applyProtection="1">
      <alignment horizontal="right"/>
    </xf>
    <xf numFmtId="166" fontId="0" fillId="8" borderId="17" xfId="0" applyNumberFormat="1" applyFill="1" applyBorder="1" applyAlignment="1" applyProtection="1">
      <alignment horizontal="right"/>
    </xf>
    <xf numFmtId="0" fontId="1" fillId="6" borderId="20" xfId="0" applyFont="1" applyFill="1" applyBorder="1" applyAlignment="1" applyProtection="1">
      <alignment horizontal="center" wrapText="1"/>
    </xf>
    <xf numFmtId="0" fontId="1" fillId="6" borderId="21" xfId="0" applyFont="1" applyFill="1" applyBorder="1" applyAlignment="1" applyProtection="1">
      <alignment horizontal="center" wrapText="1"/>
    </xf>
    <xf numFmtId="0" fontId="1" fillId="6" borderId="5" xfId="0" applyFont="1" applyFill="1" applyBorder="1" applyAlignment="1" applyProtection="1">
      <alignment horizontal="center" wrapText="1"/>
    </xf>
    <xf numFmtId="0" fontId="1" fillId="6" borderId="22" xfId="0" applyFont="1" applyFill="1" applyBorder="1" applyAlignment="1" applyProtection="1">
      <alignment horizontal="center" wrapText="1"/>
    </xf>
    <xf numFmtId="0" fontId="1" fillId="6" borderId="17" xfId="0" applyFont="1" applyFill="1" applyBorder="1" applyAlignment="1" applyProtection="1">
      <alignment horizontal="center" wrapText="1"/>
    </xf>
    <xf numFmtId="0" fontId="1" fillId="6" borderId="23" xfId="0" applyFont="1" applyFill="1" applyBorder="1" applyAlignment="1" applyProtection="1">
      <alignment horizont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0" fillId="12" borderId="12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  <xf numFmtId="0" fontId="0" fillId="12" borderId="13" xfId="0" applyFill="1" applyBorder="1" applyAlignment="1">
      <alignment horizontal="center" vertical="center" wrapText="1"/>
    </xf>
    <xf numFmtId="0" fontId="0" fillId="12" borderId="14" xfId="0" applyFill="1" applyBorder="1" applyAlignment="1">
      <alignment horizontal="center" vertical="center" wrapText="1"/>
    </xf>
    <xf numFmtId="0" fontId="0" fillId="12" borderId="15" xfId="0" applyFill="1" applyBorder="1" applyAlignment="1">
      <alignment horizontal="center" vertical="center" wrapText="1"/>
    </xf>
    <xf numFmtId="0" fontId="0" fillId="12" borderId="16" xfId="0" applyFill="1" applyBorder="1" applyAlignment="1">
      <alignment horizontal="center" vertical="center" wrapText="1"/>
    </xf>
    <xf numFmtId="0" fontId="0" fillId="6" borderId="24" xfId="0" applyFill="1" applyBorder="1" applyAlignment="1" applyProtection="1">
      <alignment horizontal="center"/>
    </xf>
    <xf numFmtId="0" fontId="0" fillId="6" borderId="25" xfId="0" applyFill="1" applyBorder="1" applyAlignment="1" applyProtection="1">
      <alignment horizontal="center"/>
    </xf>
    <xf numFmtId="0" fontId="0" fillId="6" borderId="6" xfId="0" applyFill="1" applyBorder="1" applyAlignment="1" applyProtection="1">
      <alignment horizontal="center"/>
    </xf>
    <xf numFmtId="166" fontId="0" fillId="8" borderId="24" xfId="0" applyNumberFormat="1" applyFill="1" applyBorder="1" applyAlignment="1" applyProtection="1">
      <alignment horizontal="right"/>
    </xf>
    <xf numFmtId="166" fontId="0" fillId="8" borderId="25" xfId="0" applyNumberFormat="1" applyFill="1" applyBorder="1" applyAlignment="1" applyProtection="1">
      <alignment horizontal="right"/>
    </xf>
    <xf numFmtId="0" fontId="0" fillId="9" borderId="0" xfId="0" applyFill="1" applyBorder="1" applyAlignment="1">
      <alignment horizontal="center" wrapText="1" shrinkToFit="1"/>
    </xf>
    <xf numFmtId="0" fontId="0" fillId="6" borderId="33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11" borderId="33" xfId="0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wrapText="1" shrinkToFit="1"/>
    </xf>
    <xf numFmtId="0" fontId="0" fillId="12" borderId="13" xfId="0" applyFill="1" applyBorder="1" applyAlignment="1">
      <alignment horizontal="center" wrapText="1" shrinkToFit="1"/>
    </xf>
    <xf numFmtId="0" fontId="0" fillId="12" borderId="0" xfId="0" applyFill="1" applyBorder="1" applyAlignment="1">
      <alignment horizontal="center" wrapText="1" shrinkToFit="1"/>
    </xf>
    <xf numFmtId="0" fontId="0" fillId="12" borderId="35" xfId="0" applyFill="1" applyBorder="1" applyAlignment="1">
      <alignment horizontal="center" wrapText="1" shrinkToFit="1"/>
    </xf>
    <xf numFmtId="0" fontId="0" fillId="12" borderId="15" xfId="0" applyFill="1" applyBorder="1" applyAlignment="1">
      <alignment horizontal="center" wrapText="1" shrinkToFit="1"/>
    </xf>
    <xf numFmtId="0" fontId="0" fillId="12" borderId="16" xfId="0" applyFill="1" applyBorder="1" applyAlignment="1">
      <alignment horizontal="center" wrapText="1" shrinkToFit="1"/>
    </xf>
    <xf numFmtId="0" fontId="1" fillId="7" borderId="12" xfId="0" applyFont="1" applyFill="1" applyBorder="1" applyAlignment="1" applyProtection="1">
      <alignment horizontal="center" wrapText="1"/>
    </xf>
    <xf numFmtId="0" fontId="1" fillId="7" borderId="30" xfId="0" applyFont="1" applyFill="1" applyBorder="1" applyAlignment="1" applyProtection="1">
      <alignment horizontal="center" wrapText="1"/>
    </xf>
    <xf numFmtId="0" fontId="1" fillId="7" borderId="34" xfId="0" applyFont="1" applyFill="1" applyBorder="1" applyAlignment="1" applyProtection="1">
      <alignment horizontal="center" wrapText="1"/>
    </xf>
    <xf numFmtId="0" fontId="1" fillId="7" borderId="32" xfId="0" applyFont="1" applyFill="1" applyBorder="1" applyAlignment="1" applyProtection="1">
      <alignment horizontal="center" wrapText="1"/>
    </xf>
    <xf numFmtId="0" fontId="1" fillId="7" borderId="2" xfId="0" applyFont="1" applyFill="1" applyBorder="1" applyAlignment="1" applyProtection="1">
      <alignment horizontal="center"/>
    </xf>
    <xf numFmtId="0" fontId="1" fillId="7" borderId="3" xfId="0" applyFont="1" applyFill="1" applyBorder="1" applyAlignment="1" applyProtection="1">
      <alignment horizontal="center"/>
    </xf>
    <xf numFmtId="0" fontId="1" fillId="7" borderId="4" xfId="0" applyFont="1" applyFill="1" applyBorder="1" applyAlignment="1" applyProtection="1">
      <alignment horizontal="center"/>
    </xf>
    <xf numFmtId="0" fontId="0" fillId="12" borderId="33" xfId="0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center" wrapText="1"/>
    </xf>
    <xf numFmtId="0" fontId="0" fillId="12" borderId="35" xfId="0" applyFill="1" applyBorder="1" applyAlignment="1">
      <alignment horizontal="center" vertical="center" wrapText="1"/>
    </xf>
    <xf numFmtId="49" fontId="14" fillId="17" borderId="12" xfId="1" applyNumberFormat="1" applyFont="1" applyFill="1" applyBorder="1" applyAlignment="1" applyProtection="1">
      <alignment horizontal="center" vertical="center" wrapText="1"/>
    </xf>
    <xf numFmtId="49" fontId="14" fillId="17" borderId="11" xfId="1" applyNumberFormat="1" applyFont="1" applyFill="1" applyBorder="1" applyAlignment="1" applyProtection="1">
      <alignment horizontal="center" vertical="center" wrapText="1"/>
    </xf>
    <xf numFmtId="49" fontId="14" fillId="17" borderId="13" xfId="1" applyNumberFormat="1" applyFont="1" applyFill="1" applyBorder="1" applyAlignment="1" applyProtection="1">
      <alignment horizontal="center" vertical="center" wrapText="1"/>
    </xf>
    <xf numFmtId="49" fontId="14" fillId="17" borderId="33" xfId="1" applyNumberFormat="1" applyFont="1" applyFill="1" applyBorder="1" applyAlignment="1" applyProtection="1">
      <alignment horizontal="center" vertical="center" wrapText="1"/>
    </xf>
    <xf numFmtId="49" fontId="14" fillId="17" borderId="0" xfId="1" applyNumberFormat="1" applyFont="1" applyFill="1" applyBorder="1" applyAlignment="1" applyProtection="1">
      <alignment horizontal="center" vertical="center" wrapText="1"/>
    </xf>
    <xf numFmtId="49" fontId="14" fillId="17" borderId="35" xfId="1" applyNumberFormat="1" applyFont="1" applyFill="1" applyBorder="1" applyAlignment="1" applyProtection="1">
      <alignment horizontal="center" vertical="center" wrapText="1"/>
    </xf>
    <xf numFmtId="49" fontId="14" fillId="17" borderId="14" xfId="1" applyNumberFormat="1" applyFont="1" applyFill="1" applyBorder="1" applyAlignment="1" applyProtection="1">
      <alignment horizontal="center" vertical="center" wrapText="1"/>
    </xf>
    <xf numFmtId="49" fontId="14" fillId="17" borderId="15" xfId="1" applyNumberFormat="1" applyFont="1" applyFill="1" applyBorder="1" applyAlignment="1" applyProtection="1">
      <alignment horizontal="center" vertical="center" wrapText="1"/>
    </xf>
    <xf numFmtId="49" fontId="14" fillId="17" borderId="16" xfId="1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1" fillId="3" borderId="9" xfId="0" applyFont="1" applyFill="1" applyBorder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1" fillId="6" borderId="20" xfId="0" applyFont="1" applyFill="1" applyBorder="1" applyAlignment="1" applyProtection="1">
      <alignment horizontal="center" vertical="center"/>
    </xf>
    <xf numFmtId="0" fontId="1" fillId="6" borderId="21" xfId="0" applyFont="1" applyFill="1" applyBorder="1" applyAlignment="1" applyProtection="1">
      <alignment horizontal="center" vertical="center"/>
    </xf>
    <xf numFmtId="0" fontId="1" fillId="6" borderId="22" xfId="0" applyFont="1" applyFill="1" applyBorder="1" applyAlignment="1" applyProtection="1">
      <alignment horizontal="center" vertical="center"/>
    </xf>
    <xf numFmtId="0" fontId="1" fillId="6" borderId="17" xfId="0" applyFont="1" applyFill="1" applyBorder="1" applyAlignment="1" applyProtection="1">
      <alignment horizontal="center" vertical="center"/>
    </xf>
    <xf numFmtId="0" fontId="1" fillId="6" borderId="24" xfId="0" applyFont="1" applyFill="1" applyBorder="1" applyAlignment="1" applyProtection="1">
      <alignment horizontal="center" vertical="center"/>
    </xf>
    <xf numFmtId="0" fontId="1" fillId="6" borderId="25" xfId="0" applyFont="1" applyFill="1" applyBorder="1" applyAlignment="1" applyProtection="1">
      <alignment horizontal="center" vertical="center"/>
    </xf>
    <xf numFmtId="0" fontId="0" fillId="10" borderId="21" xfId="0" applyFill="1" applyBorder="1" applyAlignment="1" applyProtection="1">
      <alignment horizontal="center" vertical="center" wrapText="1"/>
    </xf>
    <xf numFmtId="0" fontId="0" fillId="10" borderId="5" xfId="0" applyFill="1" applyBorder="1" applyAlignment="1" applyProtection="1">
      <alignment horizontal="center" vertical="center" wrapText="1"/>
    </xf>
    <xf numFmtId="0" fontId="0" fillId="10" borderId="17" xfId="0" applyFill="1" applyBorder="1" applyAlignment="1" applyProtection="1">
      <alignment horizontal="center" vertical="center" wrapText="1"/>
    </xf>
    <xf numFmtId="0" fontId="0" fillId="10" borderId="23" xfId="0" applyFill="1" applyBorder="1" applyAlignment="1" applyProtection="1">
      <alignment horizontal="center" vertical="center" wrapText="1"/>
    </xf>
    <xf numFmtId="0" fontId="0" fillId="10" borderId="25" xfId="0" applyFill="1" applyBorder="1" applyAlignment="1" applyProtection="1">
      <alignment horizontal="center" vertical="center" wrapText="1"/>
    </xf>
    <xf numFmtId="0" fontId="0" fillId="10" borderId="6" xfId="0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/>
    </xf>
    <xf numFmtId="0" fontId="1" fillId="4" borderId="3" xfId="0" applyFont="1" applyFill="1" applyBorder="1" applyAlignment="1" applyProtection="1">
      <alignment horizontal="center"/>
    </xf>
    <xf numFmtId="0" fontId="1" fillId="4" borderId="4" xfId="0" applyFont="1" applyFill="1" applyBorder="1" applyAlignment="1" applyProtection="1">
      <alignment horizontal="center"/>
    </xf>
    <xf numFmtId="0" fontId="1" fillId="4" borderId="7" xfId="0" applyFont="1" applyFill="1" applyBorder="1" applyAlignment="1" applyProtection="1">
      <alignment horizontal="center"/>
    </xf>
    <xf numFmtId="0" fontId="1" fillId="4" borderId="8" xfId="0" applyFont="1" applyFill="1" applyBorder="1" applyAlignment="1" applyProtection="1">
      <alignment horizontal="center"/>
    </xf>
    <xf numFmtId="0" fontId="1" fillId="4" borderId="9" xfId="0" applyFont="1" applyFill="1" applyBorder="1" applyAlignment="1" applyProtection="1">
      <alignment horizontal="center"/>
    </xf>
    <xf numFmtId="0" fontId="1" fillId="4" borderId="10" xfId="0" applyFont="1" applyFill="1" applyBorder="1" applyAlignment="1" applyProtection="1">
      <alignment horizontal="center"/>
    </xf>
    <xf numFmtId="0" fontId="1" fillId="18" borderId="28" xfId="0" applyFont="1" applyFill="1" applyBorder="1" applyAlignment="1" applyProtection="1">
      <alignment horizontal="center" wrapText="1"/>
    </xf>
    <xf numFmtId="0" fontId="1" fillId="18" borderId="48" xfId="0" applyFont="1" applyFill="1" applyBorder="1" applyAlignment="1" applyProtection="1">
      <alignment horizontal="center" wrapText="1"/>
    </xf>
    <xf numFmtId="0" fontId="1" fillId="18" borderId="29" xfId="0" applyFont="1" applyFill="1" applyBorder="1" applyAlignment="1" applyProtection="1">
      <alignment horizontal="center" wrapText="1"/>
    </xf>
    <xf numFmtId="0" fontId="1" fillId="18" borderId="36" xfId="0" applyFont="1" applyFill="1" applyBorder="1" applyAlignment="1" applyProtection="1">
      <alignment horizontal="center" wrapText="1"/>
    </xf>
    <xf numFmtId="0" fontId="1" fillId="18" borderId="0" xfId="0" applyFont="1" applyFill="1" applyBorder="1" applyAlignment="1" applyProtection="1">
      <alignment horizontal="center" wrapText="1"/>
    </xf>
    <xf numFmtId="0" fontId="1" fillId="18" borderId="42" xfId="0" applyFont="1" applyFill="1" applyBorder="1" applyAlignment="1" applyProtection="1">
      <alignment horizontal="center" wrapText="1"/>
    </xf>
    <xf numFmtId="0" fontId="1" fillId="18" borderId="31" xfId="0" applyFont="1" applyFill="1" applyBorder="1" applyAlignment="1" applyProtection="1">
      <alignment horizontal="center" wrapText="1"/>
    </xf>
    <xf numFmtId="0" fontId="1" fillId="18" borderId="49" xfId="0" applyFont="1" applyFill="1" applyBorder="1" applyAlignment="1" applyProtection="1">
      <alignment horizontal="center" wrapText="1"/>
    </xf>
    <xf numFmtId="0" fontId="1" fillId="18" borderId="32" xfId="0" applyFont="1" applyFill="1" applyBorder="1" applyAlignment="1" applyProtection="1">
      <alignment horizontal="center" wrapText="1"/>
    </xf>
    <xf numFmtId="0" fontId="11" fillId="5" borderId="44" xfId="0" applyFont="1" applyFill="1" applyBorder="1" applyAlignment="1" applyProtection="1">
      <alignment horizontal="center" vertical="center" wrapText="1"/>
    </xf>
    <xf numFmtId="0" fontId="11" fillId="5" borderId="29" xfId="0" applyFont="1" applyFill="1" applyBorder="1" applyAlignment="1" applyProtection="1">
      <alignment horizontal="center" vertical="center" wrapText="1"/>
    </xf>
    <xf numFmtId="0" fontId="11" fillId="5" borderId="34" xfId="0" applyFont="1" applyFill="1" applyBorder="1" applyAlignment="1" applyProtection="1">
      <alignment horizontal="center" vertical="center" wrapText="1"/>
    </xf>
    <xf numFmtId="0" fontId="11" fillId="5" borderId="32" xfId="0" applyFont="1" applyFill="1" applyBorder="1" applyAlignment="1" applyProtection="1">
      <alignment horizontal="center" vertical="center" wrapText="1"/>
    </xf>
    <xf numFmtId="1" fontId="0" fillId="0" borderId="45" xfId="0" applyNumberFormat="1" applyBorder="1" applyAlignment="1" applyProtection="1">
      <alignment horizontal="center" vertical="center"/>
      <protection locked="0"/>
    </xf>
    <xf numFmtId="1" fontId="0" fillId="0" borderId="43" xfId="0" applyNumberFormat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/>
    </xf>
    <xf numFmtId="0" fontId="1" fillId="5" borderId="20" xfId="0" applyFont="1" applyFill="1" applyBorder="1" applyAlignment="1" applyProtection="1">
      <alignment horizontal="center"/>
    </xf>
    <xf numFmtId="0" fontId="1" fillId="5" borderId="21" xfId="0" applyFont="1" applyFill="1" applyBorder="1" applyAlignment="1" applyProtection="1">
      <alignment horizontal="center"/>
    </xf>
    <xf numFmtId="0" fontId="1" fillId="9" borderId="0" xfId="0" applyFont="1" applyFill="1" applyBorder="1" applyAlignment="1" applyProtection="1">
      <alignment horizontal="center" wrapText="1"/>
    </xf>
    <xf numFmtId="0" fontId="1" fillId="5" borderId="24" xfId="0" applyFont="1" applyFill="1" applyBorder="1" applyAlignment="1" applyProtection="1">
      <alignment horizontal="center"/>
    </xf>
    <xf numFmtId="0" fontId="1" fillId="5" borderId="25" xfId="0" applyFont="1" applyFill="1" applyBorder="1" applyAlignment="1" applyProtection="1">
      <alignment horizontal="center"/>
    </xf>
    <xf numFmtId="0" fontId="15" fillId="5" borderId="47" xfId="0" applyFont="1" applyFill="1" applyBorder="1" applyAlignment="1" applyProtection="1">
      <alignment horizontal="center" vertical="center" wrapText="1"/>
    </xf>
    <xf numFmtId="0" fontId="15" fillId="5" borderId="19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19" borderId="9" xfId="0" applyFont="1" applyFill="1" applyBorder="1" applyAlignment="1" applyProtection="1">
      <alignment horizontal="center"/>
    </xf>
    <xf numFmtId="0" fontId="1" fillId="19" borderId="10" xfId="0" applyFont="1" applyFill="1" applyBorder="1" applyAlignment="1" applyProtection="1">
      <alignment horizontal="center"/>
    </xf>
    <xf numFmtId="0" fontId="0" fillId="19" borderId="7" xfId="0" applyFill="1" applyBorder="1" applyAlignment="1">
      <alignment horizontal="center"/>
    </xf>
    <xf numFmtId="0" fontId="0" fillId="19" borderId="5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16" borderId="24" xfId="0" applyFont="1" applyFill="1" applyBorder="1" applyAlignment="1" applyProtection="1">
      <alignment horizontal="center"/>
    </xf>
    <xf numFmtId="0" fontId="1" fillId="16" borderId="25" xfId="0" applyFont="1" applyFill="1" applyBorder="1" applyAlignment="1" applyProtection="1">
      <alignment horizontal="center"/>
    </xf>
    <xf numFmtId="167" fontId="0" fillId="2" borderId="25" xfId="0" applyNumberFormat="1" applyFill="1" applyBorder="1" applyAlignment="1" applyProtection="1">
      <alignment horizontal="center"/>
    </xf>
    <xf numFmtId="167" fontId="0" fillId="2" borderId="6" xfId="0" applyNumberFormat="1" applyFill="1" applyBorder="1" applyAlignment="1" applyProtection="1">
      <alignment horizontal="center"/>
    </xf>
    <xf numFmtId="0" fontId="1" fillId="16" borderId="2" xfId="0" applyFont="1" applyFill="1" applyBorder="1" applyAlignment="1" applyProtection="1">
      <alignment horizontal="center"/>
    </xf>
    <xf numFmtId="0" fontId="1" fillId="16" borderId="4" xfId="0" applyFont="1" applyFill="1" applyBorder="1" applyAlignment="1" applyProtection="1">
      <alignment horizontal="center"/>
    </xf>
    <xf numFmtId="0" fontId="1" fillId="16" borderId="20" xfId="0" applyFont="1" applyFill="1" applyBorder="1" applyAlignment="1" applyProtection="1">
      <alignment horizontal="center"/>
    </xf>
    <xf numFmtId="0" fontId="1" fillId="16" borderId="21" xfId="0" applyFont="1" applyFill="1" applyBorder="1" applyAlignment="1" applyProtection="1">
      <alignment horizontal="center"/>
    </xf>
    <xf numFmtId="0" fontId="1" fillId="16" borderId="53" xfId="0" applyFont="1" applyFill="1" applyBorder="1" applyAlignment="1" applyProtection="1">
      <alignment horizontal="center"/>
    </xf>
    <xf numFmtId="0" fontId="1" fillId="16" borderId="28" xfId="0" applyFont="1" applyFill="1" applyBorder="1" applyAlignment="1" applyProtection="1">
      <alignment horizontal="center"/>
    </xf>
    <xf numFmtId="0" fontId="1" fillId="16" borderId="12" xfId="0" applyFont="1" applyFill="1" applyBorder="1" applyAlignment="1" applyProtection="1">
      <alignment horizontal="center"/>
    </xf>
    <xf numFmtId="0" fontId="1" fillId="16" borderId="11" xfId="0" applyFont="1" applyFill="1" applyBorder="1" applyAlignment="1" applyProtection="1">
      <alignment horizontal="center"/>
    </xf>
    <xf numFmtId="0" fontId="1" fillId="16" borderId="13" xfId="0" applyFont="1" applyFill="1" applyBorder="1" applyAlignment="1" applyProtection="1">
      <alignment horizontal="center"/>
    </xf>
    <xf numFmtId="0" fontId="1" fillId="16" borderId="22" xfId="0" applyFont="1" applyFill="1" applyBorder="1" applyAlignment="1" applyProtection="1">
      <alignment horizontal="center"/>
    </xf>
    <xf numFmtId="0" fontId="1" fillId="16" borderId="17" xfId="0" applyFont="1" applyFill="1" applyBorder="1" applyAlignment="1" applyProtection="1">
      <alignment horizontal="center"/>
    </xf>
    <xf numFmtId="0" fontId="0" fillId="0" borderId="17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0" borderId="18" xfId="0" applyFont="1" applyFill="1" applyBorder="1" applyAlignment="1">
      <alignment horizontal="center"/>
    </xf>
    <xf numFmtId="0" fontId="1" fillId="20" borderId="51" xfId="0" applyFont="1" applyFill="1" applyBorder="1" applyAlignment="1">
      <alignment horizontal="center"/>
    </xf>
    <xf numFmtId="0" fontId="1" fillId="20" borderId="19" xfId="0" applyFont="1" applyFill="1" applyBorder="1" applyAlignment="1">
      <alignment horizontal="center"/>
    </xf>
    <xf numFmtId="0" fontId="1" fillId="21" borderId="18" xfId="0" applyFont="1" applyFill="1" applyBorder="1" applyAlignment="1">
      <alignment horizontal="center"/>
    </xf>
    <xf numFmtId="0" fontId="1" fillId="21" borderId="51" xfId="0" applyFont="1" applyFill="1" applyBorder="1" applyAlignment="1">
      <alignment horizontal="center"/>
    </xf>
    <xf numFmtId="0" fontId="1" fillId="21" borderId="19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166" fontId="0" fillId="14" borderId="28" xfId="0" applyNumberFormat="1" applyFill="1" applyBorder="1" applyAlignment="1">
      <alignment horizontal="center" vertical="center"/>
    </xf>
    <xf numFmtId="166" fontId="0" fillId="14" borderId="29" xfId="0" applyNumberFormat="1" applyFill="1" applyBorder="1" applyAlignment="1">
      <alignment horizontal="center" vertical="center"/>
    </xf>
    <xf numFmtId="166" fontId="0" fillId="14" borderId="36" xfId="0" applyNumberFormat="1" applyFill="1" applyBorder="1" applyAlignment="1">
      <alignment horizontal="center" vertical="center"/>
    </xf>
    <xf numFmtId="166" fontId="0" fillId="14" borderId="42" xfId="0" applyNumberFormat="1" applyFill="1" applyBorder="1" applyAlignment="1">
      <alignment horizontal="center" vertical="center"/>
    </xf>
    <xf numFmtId="166" fontId="0" fillId="14" borderId="31" xfId="0" applyNumberFormat="1" applyFill="1" applyBorder="1" applyAlignment="1">
      <alignment horizontal="center" vertical="center"/>
    </xf>
    <xf numFmtId="166" fontId="0" fillId="14" borderId="32" xfId="0" applyNumberFormat="1" applyFill="1" applyBorder="1" applyAlignment="1">
      <alignment horizontal="center" vertical="center"/>
    </xf>
    <xf numFmtId="0" fontId="13" fillId="13" borderId="12" xfId="0" applyFont="1" applyFill="1" applyBorder="1" applyAlignment="1">
      <alignment horizontal="center"/>
    </xf>
    <xf numFmtId="0" fontId="13" fillId="13" borderId="11" xfId="0" applyFont="1" applyFill="1" applyBorder="1" applyAlignment="1">
      <alignment horizontal="center"/>
    </xf>
    <xf numFmtId="0" fontId="13" fillId="13" borderId="13" xfId="0" applyFont="1" applyFill="1" applyBorder="1" applyAlignment="1">
      <alignment horizontal="center"/>
    </xf>
    <xf numFmtId="0" fontId="0" fillId="16" borderId="12" xfId="0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51" xfId="0" applyFill="1" applyBorder="1" applyAlignment="1">
      <alignment horizontal="center"/>
    </xf>
    <xf numFmtId="0" fontId="0" fillId="3" borderId="19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1</xdr:row>
      <xdr:rowOff>0</xdr:rowOff>
    </xdr:from>
    <xdr:to>
      <xdr:col>15</xdr:col>
      <xdr:colOff>314790</xdr:colOff>
      <xdr:row>4</xdr:row>
      <xdr:rowOff>123953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D7751A8-D38C-492F-84A3-64D1414E6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4475" y="361950"/>
          <a:ext cx="3334215" cy="91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19050</xdr:colOff>
      <xdr:row>5</xdr:row>
      <xdr:rowOff>85725</xdr:rowOff>
    </xdr:from>
    <xdr:to>
      <xdr:col>14</xdr:col>
      <xdr:colOff>723900</xdr:colOff>
      <xdr:row>10</xdr:row>
      <xdr:rowOff>28575</xdr:rowOff>
    </xdr:to>
    <xdr:pic>
      <xdr:nvPicPr>
        <xdr:cNvPr id="3" name="Gráfico 2" descr="Atrás con relleno sóli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134475" y="1057275"/>
          <a:ext cx="914400" cy="91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</xdr:colOff>
      <xdr:row>11</xdr:row>
      <xdr:rowOff>76200</xdr:rowOff>
    </xdr:from>
    <xdr:to>
      <xdr:col>14</xdr:col>
      <xdr:colOff>742950</xdr:colOff>
      <xdr:row>16</xdr:row>
      <xdr:rowOff>0</xdr:rowOff>
    </xdr:to>
    <xdr:pic>
      <xdr:nvPicPr>
        <xdr:cNvPr id="4" name="Gráfico 3" descr="Atrás con relleno sóli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610600" y="2209800"/>
          <a:ext cx="914400" cy="914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733425</xdr:colOff>
      <xdr:row>2</xdr:row>
      <xdr:rowOff>76200</xdr:rowOff>
    </xdr:from>
    <xdr:to>
      <xdr:col>12</xdr:col>
      <xdr:colOff>123825</xdr:colOff>
      <xdr:row>7</xdr:row>
      <xdr:rowOff>9525</xdr:rowOff>
    </xdr:to>
    <xdr:pic>
      <xdr:nvPicPr>
        <xdr:cNvPr id="3" name="Gráfico 2" descr="Atrás con relleno sólid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15350" y="476250"/>
          <a:ext cx="914400" cy="914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4</xdr:row>
      <xdr:rowOff>95250</xdr:rowOff>
    </xdr:from>
    <xdr:to>
      <xdr:col>12</xdr:col>
      <xdr:colOff>171450</xdr:colOff>
      <xdr:row>8</xdr:row>
      <xdr:rowOff>190500</xdr:rowOff>
    </xdr:to>
    <xdr:pic>
      <xdr:nvPicPr>
        <xdr:cNvPr id="3" name="Gráfico 2" descr="Atrás con relleno sóli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62975" y="895350"/>
          <a:ext cx="914400" cy="914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5</xdr:row>
      <xdr:rowOff>95250</xdr:rowOff>
    </xdr:from>
    <xdr:to>
      <xdr:col>12</xdr:col>
      <xdr:colOff>171450</xdr:colOff>
      <xdr:row>9</xdr:row>
      <xdr:rowOff>85725</xdr:rowOff>
    </xdr:to>
    <xdr:pic>
      <xdr:nvPicPr>
        <xdr:cNvPr id="2" name="Gráfico 2" descr="Atrás con relleno sóli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62975" y="895350"/>
          <a:ext cx="914400" cy="914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714375</xdr:colOff>
      <xdr:row>3</xdr:row>
      <xdr:rowOff>133350</xdr:rowOff>
    </xdr:from>
    <xdr:to>
      <xdr:col>14</xdr:col>
      <xdr:colOff>104775</xdr:colOff>
      <xdr:row>8</xdr:row>
      <xdr:rowOff>76200</xdr:rowOff>
    </xdr:to>
    <xdr:pic>
      <xdr:nvPicPr>
        <xdr:cNvPr id="3" name="Gráfico 2" descr="Atrás con relleno sólido">
          <a:extLst>
            <a:ext uri="{FF2B5EF4-FFF2-40B4-BE49-F238E27FC236}">
              <a16:creationId xmlns:a16="http://schemas.microsoft.com/office/drawing/2014/main" id="{DCBB9100-5E36-490F-8533-D85F2ED8E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58375" y="704850"/>
          <a:ext cx="914400" cy="914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4</xdr:row>
      <xdr:rowOff>85725</xdr:rowOff>
    </xdr:from>
    <xdr:to>
      <xdr:col>11</xdr:col>
      <xdr:colOff>171450</xdr:colOff>
      <xdr:row>9</xdr:row>
      <xdr:rowOff>47625</xdr:rowOff>
    </xdr:to>
    <xdr:pic>
      <xdr:nvPicPr>
        <xdr:cNvPr id="3" name="Gráfico 2" descr="Atrás con relleno sólido">
          <a:extLst>
            <a:ext uri="{FF2B5EF4-FFF2-40B4-BE49-F238E27FC236}">
              <a16:creationId xmlns:a16="http://schemas.microsoft.com/office/drawing/2014/main" id="{80FB0DF1-8135-407D-AF0C-8FD0CB29F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134475" y="1057275"/>
          <a:ext cx="914400" cy="914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114300</xdr:rowOff>
    </xdr:from>
    <xdr:to>
      <xdr:col>9</xdr:col>
      <xdr:colOff>152400</xdr:colOff>
      <xdr:row>11</xdr:row>
      <xdr:rowOff>47625</xdr:rowOff>
    </xdr:to>
    <xdr:pic>
      <xdr:nvPicPr>
        <xdr:cNvPr id="3" name="Gráfico 2" descr="Atrás con relleno sólido">
          <a:extLst>
            <a:ext uri="{FF2B5EF4-FFF2-40B4-BE49-F238E27FC236}">
              <a16:creationId xmlns:a16="http://schemas.microsoft.com/office/drawing/2014/main" id="{4BD161CA-C2E4-44A1-9B90-D79684500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553325" y="1304925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FF00"/>
  </sheetPr>
  <dimension ref="A1:N22"/>
  <sheetViews>
    <sheetView showGridLines="0" showRowColHeaders="0" tabSelected="1" workbookViewId="0">
      <selection activeCell="C3" sqref="C3"/>
    </sheetView>
  </sheetViews>
  <sheetFormatPr baseColWidth="10" defaultRowHeight="15" x14ac:dyDescent="0.25"/>
  <cols>
    <col min="1" max="2" width="11.42578125" style="48"/>
    <col min="3" max="3" width="22.28515625" style="48" customWidth="1"/>
    <col min="4" max="16384" width="11.42578125" style="48"/>
  </cols>
  <sheetData>
    <row r="1" spans="1:14" ht="28.5" x14ac:dyDescent="0.45">
      <c r="C1" s="80" t="s">
        <v>97</v>
      </c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4" ht="21" x14ac:dyDescent="0.35">
      <c r="C2" s="81"/>
      <c r="D2" s="81"/>
      <c r="E2" s="81"/>
      <c r="F2" s="81"/>
      <c r="G2" s="81"/>
      <c r="H2" s="81"/>
      <c r="I2" s="81"/>
      <c r="J2" s="81"/>
    </row>
    <row r="3" spans="1:14" ht="26.25" x14ac:dyDescent="0.4">
      <c r="D3" s="78"/>
      <c r="E3" s="78"/>
      <c r="F3" s="78"/>
      <c r="G3" s="78"/>
      <c r="H3" s="78"/>
      <c r="I3" s="78"/>
      <c r="J3" s="78"/>
      <c r="K3" s="78"/>
    </row>
    <row r="5" spans="1:14" ht="15.75" thickBot="1" x14ac:dyDescent="0.3"/>
    <row r="6" spans="1:14" ht="15.75" thickBot="1" x14ac:dyDescent="0.3">
      <c r="B6" s="92" t="s">
        <v>95</v>
      </c>
      <c r="C6" s="93"/>
      <c r="D6" s="47">
        <v>929.93</v>
      </c>
      <c r="G6" s="82" t="s">
        <v>96</v>
      </c>
      <c r="H6" s="83"/>
      <c r="I6" s="83"/>
      <c r="J6" s="83"/>
      <c r="K6" s="83"/>
      <c r="L6" s="83"/>
      <c r="M6" s="83"/>
      <c r="N6" s="84"/>
    </row>
    <row r="7" spans="1:14" x14ac:dyDescent="0.25">
      <c r="G7" s="85"/>
      <c r="H7" s="86"/>
      <c r="I7" s="86"/>
      <c r="J7" s="86"/>
      <c r="K7" s="86"/>
      <c r="L7" s="86"/>
      <c r="M7" s="86"/>
      <c r="N7" s="87"/>
    </row>
    <row r="8" spans="1:14" ht="15.75" thickBot="1" x14ac:dyDescent="0.3">
      <c r="G8" s="88"/>
      <c r="H8" s="89"/>
      <c r="I8" s="89"/>
      <c r="J8" s="89"/>
      <c r="K8" s="89"/>
      <c r="L8" s="89"/>
      <c r="M8" s="89"/>
      <c r="N8" s="90"/>
    </row>
    <row r="10" spans="1:14" ht="18.75" x14ac:dyDescent="0.3">
      <c r="B10" s="91" t="s">
        <v>51</v>
      </c>
      <c r="C10" s="91"/>
      <c r="D10" s="91"/>
      <c r="E10" s="91"/>
      <c r="F10" s="91"/>
      <c r="G10" s="91"/>
      <c r="H10" s="91"/>
      <c r="I10" s="91"/>
    </row>
    <row r="11" spans="1:14" x14ac:dyDescent="0.25">
      <c r="B11" s="49"/>
      <c r="C11" s="50"/>
      <c r="D11" s="50"/>
      <c r="E11" s="50"/>
    </row>
    <row r="12" spans="1:14" x14ac:dyDescent="0.25">
      <c r="A12" s="58"/>
      <c r="B12" s="79" t="s">
        <v>48</v>
      </c>
      <c r="C12" s="79"/>
      <c r="D12" s="79"/>
      <c r="E12" s="79"/>
      <c r="F12" s="58"/>
      <c r="G12" s="79" t="s">
        <v>52</v>
      </c>
      <c r="H12" s="79"/>
      <c r="I12" s="79"/>
      <c r="J12" s="58"/>
      <c r="K12" s="58"/>
    </row>
    <row r="13" spans="1:14" x14ac:dyDescent="0.25">
      <c r="A13" s="58"/>
      <c r="B13" s="59"/>
      <c r="C13" s="59"/>
      <c r="D13" s="59"/>
      <c r="E13" s="59"/>
      <c r="F13" s="58"/>
      <c r="G13" s="58"/>
      <c r="H13" s="58"/>
      <c r="I13" s="58"/>
      <c r="J13" s="58"/>
      <c r="K13" s="58"/>
    </row>
    <row r="14" spans="1:14" x14ac:dyDescent="0.25">
      <c r="A14" s="58"/>
      <c r="B14" s="79" t="s">
        <v>47</v>
      </c>
      <c r="C14" s="79"/>
      <c r="D14" s="79"/>
      <c r="E14" s="79"/>
      <c r="F14" s="58"/>
      <c r="G14" s="79" t="s">
        <v>63</v>
      </c>
      <c r="H14" s="79"/>
      <c r="I14" s="79"/>
      <c r="J14" s="79"/>
      <c r="K14" s="79"/>
    </row>
    <row r="15" spans="1:14" x14ac:dyDescent="0.25">
      <c r="A15" s="58"/>
      <c r="B15" s="59"/>
      <c r="C15" s="59"/>
      <c r="D15" s="59"/>
      <c r="E15" s="59"/>
      <c r="F15" s="58"/>
      <c r="G15" s="58"/>
      <c r="H15" s="58"/>
      <c r="I15" s="58"/>
      <c r="J15" s="58"/>
      <c r="K15" s="58"/>
    </row>
    <row r="16" spans="1:14" x14ac:dyDescent="0.25">
      <c r="A16" s="58"/>
      <c r="B16" s="79" t="s">
        <v>2</v>
      </c>
      <c r="C16" s="79"/>
      <c r="D16" s="79"/>
      <c r="E16" s="79"/>
      <c r="F16" s="58"/>
      <c r="G16" s="73" t="s">
        <v>82</v>
      </c>
      <c r="H16" s="58"/>
      <c r="I16" s="58"/>
      <c r="J16" s="58"/>
      <c r="K16" s="58"/>
    </row>
    <row r="17" spans="1:13" x14ac:dyDescent="0.25">
      <c r="A17" s="58"/>
      <c r="B17" s="60"/>
      <c r="C17" s="60"/>
      <c r="D17" s="60"/>
      <c r="E17" s="60"/>
      <c r="F17" s="58"/>
      <c r="G17" s="58"/>
      <c r="H17" s="58"/>
      <c r="I17" s="58"/>
      <c r="J17" s="58"/>
      <c r="K17" s="58"/>
    </row>
    <row r="18" spans="1:13" x14ac:dyDescent="0.25">
      <c r="A18" s="58"/>
      <c r="B18" s="79" t="s">
        <v>49</v>
      </c>
      <c r="C18" s="79"/>
      <c r="D18" s="79"/>
      <c r="E18" s="58"/>
      <c r="F18" s="58"/>
      <c r="G18" s="79" t="s">
        <v>67</v>
      </c>
      <c r="H18" s="79"/>
      <c r="I18" s="79"/>
      <c r="J18" s="58"/>
      <c r="K18" s="58"/>
    </row>
    <row r="20" spans="1:13" x14ac:dyDescent="0.25">
      <c r="C20" s="76"/>
      <c r="D20" s="77"/>
      <c r="E20" s="77"/>
      <c r="F20" s="77"/>
      <c r="G20" s="77"/>
      <c r="H20" s="77"/>
      <c r="I20" s="77"/>
      <c r="J20" s="77"/>
      <c r="K20" s="77"/>
      <c r="L20" s="77"/>
      <c r="M20" s="77"/>
    </row>
    <row r="21" spans="1:13" x14ac:dyDescent="0.25"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</row>
    <row r="22" spans="1:13" x14ac:dyDescent="0.25"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</row>
  </sheetData>
  <sheetProtection algorithmName="SHA-512" hashValue="M3BpffZuMYbzAF8xQyQsczqzm9waZ7rJEutAutYFmBQMOUxiCzjSYtyrFw0K/1161c9uazLlzLHvh3+8mGN6XA==" saltValue="U5d8+Zm8KcMgRDmDVFZGFw==" spinCount="100000" sheet="1" objects="1" scenarios="1"/>
  <mergeCells count="14">
    <mergeCell ref="C20:M22"/>
    <mergeCell ref="D3:K3"/>
    <mergeCell ref="B18:D18"/>
    <mergeCell ref="C1:M1"/>
    <mergeCell ref="C2:J2"/>
    <mergeCell ref="G6:N8"/>
    <mergeCell ref="B12:E12"/>
    <mergeCell ref="B14:E14"/>
    <mergeCell ref="B16:E16"/>
    <mergeCell ref="G12:I12"/>
    <mergeCell ref="G14:K14"/>
    <mergeCell ref="B10:I10"/>
    <mergeCell ref="G18:I18"/>
    <mergeCell ref="B6:C6"/>
  </mergeCells>
  <hyperlinks>
    <hyperlink ref="B12" location="'Servicio de HyS (excepto Const)'!A1" display="Servicio Higiene y Seguridad ( No Construccion)" xr:uid="{00000000-0004-0000-0000-000000000000}"/>
    <hyperlink ref="B14" location="'Servicio de HyS Constr'!A1" display="Servicio Higiene y Seguridad Construccion" xr:uid="{00000000-0004-0000-0000-000001000000}"/>
    <hyperlink ref="B16" location="'Medicion de Iluminacion'!A1" display="Medicion de Iluminacion en Ambiente Laboral" xr:uid="{00000000-0004-0000-0000-000002000000}"/>
    <hyperlink ref="B18" location="'Medicion de Ruido Laboral'!A1" display="Medicion de Ruido Laboral" xr:uid="{00000000-0004-0000-0000-000003000000}"/>
    <hyperlink ref="G12" location="'Medicion de Puesta a Tierra'!A1" display="Medicion de Puesta a Tierra" xr:uid="{00000000-0004-0000-0000-000004000000}"/>
    <hyperlink ref="G14" location="Traslado!A1" display="Traslado, Dias de Trabajo, Capacitaciones, Inspecciones" xr:uid="{00000000-0004-0000-0000-000005000000}"/>
    <hyperlink ref="B12:E12" location="'Servicio de HyS (excepto Const)'!E3" display="Servicio Higiene y Seguridad ( No Construccion)" xr:uid="{00000000-0004-0000-0000-000006000000}"/>
    <hyperlink ref="B14:E14" location="'Servicio de HyS Constr'!E3" display="Servicio Higiene y Seguridad Construccion" xr:uid="{00000000-0004-0000-0000-000007000000}"/>
    <hyperlink ref="B16:E16" location="'Medicion de Iluminacion'!C2" display="Medicion de Iluminacion en Ambiente Laboral" xr:uid="{00000000-0004-0000-0000-000008000000}"/>
    <hyperlink ref="B18:D18" location="'Medicion de Ruido Laboral'!C2" display="Medicion de Ruido Laboral" xr:uid="{00000000-0004-0000-0000-000009000000}"/>
    <hyperlink ref="G14:K14" location="Traslado!B4" display="Traslado, Dias de Trabajo, Capacitaciones, Inspecciones" xr:uid="{00000000-0004-0000-0000-00000A000000}"/>
    <hyperlink ref="G12:I12" location="'Medicion de Puesta a Tierra'!C2" display="Medicion de Puesta a Tierra" xr:uid="{00000000-0004-0000-0000-00000B000000}"/>
    <hyperlink ref="G18" location="'Carga Termica'!A1" display="Medicion de Carga Termica " xr:uid="{00000000-0004-0000-0000-00000C000000}"/>
    <hyperlink ref="G16" location="Ergonomia!A1" display="Ergonomia" xr:uid="{00000000-0004-0000-0000-00000D000000}"/>
  </hyperlink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/>
  <dimension ref="B2:N43"/>
  <sheetViews>
    <sheetView topLeftCell="A27" workbookViewId="0">
      <selection activeCell="K43" sqref="K43"/>
    </sheetView>
  </sheetViews>
  <sheetFormatPr baseColWidth="10" defaultRowHeight="15" x14ac:dyDescent="0.25"/>
  <cols>
    <col min="2" max="2" width="11.85546875" bestFit="1" customWidth="1"/>
    <col min="4" max="4" width="19" customWidth="1"/>
    <col min="7" max="7" width="13" customWidth="1"/>
    <col min="12" max="12" width="16" customWidth="1"/>
    <col min="14" max="14" width="16.42578125" customWidth="1"/>
  </cols>
  <sheetData>
    <row r="2" spans="2:14" ht="15.75" thickBot="1" x14ac:dyDescent="0.3"/>
    <row r="3" spans="2:14" ht="15.75" thickBot="1" x14ac:dyDescent="0.3">
      <c r="B3" s="15" t="s">
        <v>37</v>
      </c>
      <c r="D3" s="11" t="s">
        <v>38</v>
      </c>
      <c r="F3" s="303" t="s">
        <v>41</v>
      </c>
      <c r="G3" s="304"/>
      <c r="H3" s="304"/>
      <c r="I3" s="304"/>
      <c r="J3" s="304"/>
      <c r="K3" s="304"/>
      <c r="L3" s="304"/>
      <c r="M3" s="304"/>
      <c r="N3" s="305"/>
    </row>
    <row r="4" spans="2:14" x14ac:dyDescent="0.25">
      <c r="B4" s="12">
        <f>Inicio!D6*200</f>
        <v>185986</v>
      </c>
      <c r="D4" s="38" t="s">
        <v>39</v>
      </c>
      <c r="F4" s="24">
        <f>Inicio!D6*158.6*1.85</f>
        <v>272850.76130000001</v>
      </c>
      <c r="G4" s="16"/>
      <c r="H4" s="16">
        <f>F4</f>
        <v>272850.76130000001</v>
      </c>
      <c r="I4" s="5"/>
      <c r="J4" s="5"/>
      <c r="K4" s="5"/>
      <c r="L4" s="16">
        <f>F4</f>
        <v>272850.76130000001</v>
      </c>
      <c r="M4" s="16"/>
      <c r="N4" s="6">
        <v>1.6</v>
      </c>
    </row>
    <row r="5" spans="2:14" x14ac:dyDescent="0.25">
      <c r="B5" s="13">
        <f>(B4*5%)*('Medicion de Iluminacion'!D4-1)+B4</f>
        <v>362672.7</v>
      </c>
      <c r="D5" s="12">
        <f>Inicio!D6*200</f>
        <v>185986</v>
      </c>
      <c r="F5" s="17">
        <f>F4*1.6</f>
        <v>436561.21808000002</v>
      </c>
      <c r="G5" s="1"/>
      <c r="H5" s="18">
        <f>H4*J5</f>
        <v>436561.21808000002</v>
      </c>
      <c r="I5" s="19"/>
      <c r="J5" s="1">
        <v>1.6</v>
      </c>
      <c r="K5" s="1"/>
      <c r="L5" s="18">
        <f>L4*N4</f>
        <v>436561.21808000002</v>
      </c>
      <c r="M5" s="1"/>
      <c r="N5" s="20">
        <v>2</v>
      </c>
    </row>
    <row r="6" spans="2:14" x14ac:dyDescent="0.25">
      <c r="B6" s="13"/>
      <c r="D6" s="13">
        <f>(D5*5%)*('Medicion de Ruido Laboral'!D4-1)+D5</f>
        <v>269679.7</v>
      </c>
      <c r="F6" s="17">
        <f>F5*1.5</f>
        <v>654841.82712000003</v>
      </c>
      <c r="G6" s="1"/>
      <c r="H6" s="18">
        <f t="shared" ref="H6:H17" si="0">H5*J6</f>
        <v>873122.43616000004</v>
      </c>
      <c r="I6" s="19"/>
      <c r="J6" s="1">
        <v>2</v>
      </c>
      <c r="K6" s="1"/>
      <c r="L6" s="18">
        <f t="shared" ref="L6:L18" si="1">L5*N5</f>
        <v>873122.43616000004</v>
      </c>
      <c r="M6" s="1"/>
      <c r="N6" s="20">
        <v>1.75</v>
      </c>
    </row>
    <row r="7" spans="2:14" x14ac:dyDescent="0.25">
      <c r="B7" s="13" t="s">
        <v>4</v>
      </c>
      <c r="D7" s="13">
        <f>IF('Medicion de Ruido Laboral'!D4=0,0,D6)</f>
        <v>269679.7</v>
      </c>
      <c r="F7" s="17">
        <f>F6*1.33</f>
        <v>870939.63006960007</v>
      </c>
      <c r="G7" s="1"/>
      <c r="H7" s="18">
        <f t="shared" si="0"/>
        <v>1200543.3497200001</v>
      </c>
      <c r="I7" s="19"/>
      <c r="J7" s="1">
        <v>1.375</v>
      </c>
      <c r="K7" s="1"/>
      <c r="L7" s="18">
        <f t="shared" si="1"/>
        <v>1527964.2632800001</v>
      </c>
      <c r="M7" s="1"/>
      <c r="N7" s="20">
        <v>1.5714285714285714</v>
      </c>
    </row>
    <row r="8" spans="2:14" x14ac:dyDescent="0.25">
      <c r="B8" s="13" t="s">
        <v>5</v>
      </c>
      <c r="D8" s="13">
        <f>IF('Medicion de Ruido Laboral'!H4="no",D7,D7*15%+D7)</f>
        <v>269679.7</v>
      </c>
      <c r="F8" s="17">
        <f>F7*1.25</f>
        <v>1088674.5375870001</v>
      </c>
      <c r="G8" s="1"/>
      <c r="H8" s="18">
        <f t="shared" si="0"/>
        <v>1637104.5677999998</v>
      </c>
      <c r="I8" s="19"/>
      <c r="J8" s="1">
        <v>1.3636363636363635</v>
      </c>
      <c r="K8" s="1"/>
      <c r="L8" s="18">
        <f t="shared" si="1"/>
        <v>2401086.6994400001</v>
      </c>
      <c r="M8" s="1"/>
      <c r="N8" s="20">
        <v>1.3636363636363635</v>
      </c>
    </row>
    <row r="9" spans="2:14" x14ac:dyDescent="0.25">
      <c r="B9" s="13">
        <f>IF('Medicion de Iluminacion'!D4=0,0,B5)</f>
        <v>362672.7</v>
      </c>
      <c r="D9" s="13"/>
      <c r="F9" s="17">
        <f>F8*1.2</f>
        <v>1306409.4451043999</v>
      </c>
      <c r="G9" s="1"/>
      <c r="H9" s="18">
        <f t="shared" si="0"/>
        <v>2455656.8516999995</v>
      </c>
      <c r="I9" s="19"/>
      <c r="J9" s="1">
        <v>1.5</v>
      </c>
      <c r="K9" s="1"/>
      <c r="L9" s="18">
        <f t="shared" si="1"/>
        <v>3274209.1355999997</v>
      </c>
      <c r="M9" s="1"/>
      <c r="N9" s="20">
        <v>1.3</v>
      </c>
    </row>
    <row r="10" spans="2:14" x14ac:dyDescent="0.25">
      <c r="B10" s="13">
        <f>IF('Medicion de Iluminacion'!H4="no",B9,B9*15%+B9)</f>
        <v>362672.7</v>
      </c>
      <c r="D10" s="13"/>
      <c r="F10" s="17">
        <f>F9*1.16</f>
        <v>1515434.9563211037</v>
      </c>
      <c r="G10" s="1"/>
      <c r="H10" s="18">
        <f t="shared" si="0"/>
        <v>3274209.1355999992</v>
      </c>
      <c r="I10" s="19"/>
      <c r="J10" s="1">
        <v>1.3333333333333333</v>
      </c>
      <c r="K10" s="1"/>
      <c r="L10" s="18">
        <f t="shared" si="1"/>
        <v>4256471.8762799995</v>
      </c>
      <c r="M10" s="1"/>
      <c r="N10" s="20">
        <v>1.2307692307692308</v>
      </c>
    </row>
    <row r="11" spans="2:14" x14ac:dyDescent="0.25">
      <c r="B11" s="13"/>
      <c r="D11" s="13"/>
      <c r="F11" s="17">
        <f>F10*1.14</f>
        <v>1727595.850206058</v>
      </c>
      <c r="G11" s="1"/>
      <c r="H11" s="18">
        <f t="shared" si="0"/>
        <v>4092761.4194999989</v>
      </c>
      <c r="I11" s="19"/>
      <c r="J11" s="1">
        <v>1.25</v>
      </c>
      <c r="K11" s="1"/>
      <c r="L11" s="18">
        <f t="shared" si="1"/>
        <v>5238734.6169599993</v>
      </c>
      <c r="M11" s="1"/>
      <c r="N11" s="20">
        <v>1.1875</v>
      </c>
    </row>
    <row r="12" spans="2:14" x14ac:dyDescent="0.25">
      <c r="B12" s="13"/>
      <c r="D12" s="13"/>
      <c r="F12" s="17">
        <f>F11*1.12</f>
        <v>1934907.3522307852</v>
      </c>
      <c r="G12" s="1"/>
      <c r="H12" s="18">
        <f t="shared" si="0"/>
        <v>4911313.7033999981</v>
      </c>
      <c r="I12" s="19"/>
      <c r="J12" s="1">
        <v>1.2</v>
      </c>
      <c r="K12" s="1"/>
      <c r="L12" s="18">
        <f t="shared" si="1"/>
        <v>6220997.3576399991</v>
      </c>
      <c r="M12" s="1"/>
      <c r="N12" s="20">
        <v>1.1578947368421053</v>
      </c>
    </row>
    <row r="13" spans="2:14" x14ac:dyDescent="0.25">
      <c r="B13" s="13"/>
      <c r="D13" s="13"/>
      <c r="F13" s="17">
        <f>F12*1.11</f>
        <v>2147747.160976172</v>
      </c>
      <c r="G13" s="1"/>
      <c r="H13" s="18">
        <f t="shared" si="0"/>
        <v>5729865.9872999983</v>
      </c>
      <c r="I13" s="19"/>
      <c r="J13" s="1">
        <v>1.1666666666666667</v>
      </c>
      <c r="K13" s="1"/>
      <c r="L13" s="18">
        <f t="shared" si="1"/>
        <v>7203260.0983199989</v>
      </c>
      <c r="M13" s="1"/>
      <c r="N13" s="20">
        <v>1.1363636363636365</v>
      </c>
    </row>
    <row r="14" spans="2:14" x14ac:dyDescent="0.25">
      <c r="B14" s="13"/>
      <c r="D14" s="38" t="s">
        <v>40</v>
      </c>
      <c r="F14" s="17">
        <f t="shared" ref="F14:F17" si="2">F13*1.11</f>
        <v>2383999.348683551</v>
      </c>
      <c r="G14" s="1"/>
      <c r="H14" s="18">
        <f t="shared" si="0"/>
        <v>6548418.2711999975</v>
      </c>
      <c r="I14" s="19"/>
      <c r="J14" s="1">
        <v>1.1428571428571428</v>
      </c>
      <c r="K14" s="1"/>
      <c r="L14" s="18">
        <f t="shared" si="1"/>
        <v>8185522.8389999997</v>
      </c>
      <c r="M14" s="1"/>
      <c r="N14" s="20">
        <v>1.1200000000000001</v>
      </c>
    </row>
    <row r="15" spans="2:14" x14ac:dyDescent="0.25">
      <c r="B15" s="13"/>
      <c r="D15" s="12">
        <f>Inicio!D6*317.21</f>
        <v>294983.09529999999</v>
      </c>
      <c r="F15" s="17">
        <f t="shared" si="2"/>
        <v>2646239.2770387419</v>
      </c>
      <c r="G15" s="1"/>
      <c r="H15" s="18">
        <f t="shared" si="0"/>
        <v>7366970.5550999977</v>
      </c>
      <c r="I15" s="19"/>
      <c r="J15" s="1">
        <v>1.125</v>
      </c>
      <c r="K15" s="1"/>
      <c r="L15" s="18">
        <f t="shared" si="1"/>
        <v>9167785.5796800014</v>
      </c>
      <c r="M15" s="1"/>
      <c r="N15" s="20">
        <v>1.1071428571428572</v>
      </c>
    </row>
    <row r="16" spans="2:14" x14ac:dyDescent="0.25">
      <c r="B16" s="13"/>
      <c r="D16" s="13">
        <f>(D15*5%)*('Medicion de Ruido Laboral'!D12-1)+D15</f>
        <v>309732.25006499997</v>
      </c>
      <c r="F16" s="17">
        <f t="shared" si="2"/>
        <v>2937325.5975130037</v>
      </c>
      <c r="G16" s="1"/>
      <c r="H16" s="18">
        <f t="shared" si="0"/>
        <v>8185522.8389999978</v>
      </c>
      <c r="I16" s="19"/>
      <c r="J16" s="1">
        <v>1.1111111111111112</v>
      </c>
      <c r="K16" s="1"/>
      <c r="L16" s="18">
        <f t="shared" si="1"/>
        <v>10150048.320360001</v>
      </c>
      <c r="M16" s="1"/>
      <c r="N16" s="20">
        <v>1.096774193548387</v>
      </c>
    </row>
    <row r="17" spans="2:14" x14ac:dyDescent="0.25">
      <c r="B17" s="13"/>
      <c r="D17" s="13">
        <f>IF('Medicion de Ruido Laboral'!D12=0,0,D16)</f>
        <v>309732.25006499997</v>
      </c>
      <c r="F17" s="17">
        <f t="shared" si="2"/>
        <v>3260431.4132394344</v>
      </c>
      <c r="G17" s="1"/>
      <c r="H17" s="18">
        <f t="shared" si="0"/>
        <v>9276925.8841999974</v>
      </c>
      <c r="I17" s="19"/>
      <c r="J17" s="1">
        <v>1.1333333333333333</v>
      </c>
      <c r="K17" s="1"/>
      <c r="L17" s="18">
        <f t="shared" si="1"/>
        <v>11132311.061040001</v>
      </c>
      <c r="M17" s="1"/>
      <c r="N17" s="20">
        <v>1.0784313725490196</v>
      </c>
    </row>
    <row r="18" spans="2:14" ht="15.75" thickBot="1" x14ac:dyDescent="0.3">
      <c r="B18" s="14"/>
      <c r="D18" s="14">
        <f>IF('Medicion de Ruido Laboral'!H12="no",D17,D17*15%+D17)</f>
        <v>356192.08757474995</v>
      </c>
      <c r="F18" s="17"/>
      <c r="G18" s="1"/>
      <c r="H18" s="1"/>
      <c r="I18" s="1"/>
      <c r="J18" s="1"/>
      <c r="K18" s="1"/>
      <c r="L18" s="18">
        <f t="shared" si="1"/>
        <v>12005433.497200001</v>
      </c>
      <c r="M18" s="1"/>
      <c r="N18" s="20"/>
    </row>
    <row r="19" spans="2:14" ht="15.75" thickBot="1" x14ac:dyDescent="0.3">
      <c r="F19" s="21"/>
      <c r="G19" s="22"/>
      <c r="H19" s="22"/>
      <c r="I19" s="22"/>
      <c r="J19" s="22"/>
      <c r="K19" s="22"/>
      <c r="L19" s="22"/>
      <c r="M19" s="22"/>
      <c r="N19" s="23"/>
    </row>
    <row r="23" spans="2:14" ht="15.75" thickBot="1" x14ac:dyDescent="0.3">
      <c r="D23" s="3"/>
      <c r="E23" s="2"/>
      <c r="H23" s="3"/>
      <c r="K23" s="3"/>
    </row>
    <row r="24" spans="2:14" x14ac:dyDescent="0.25">
      <c r="B24" s="306" t="s">
        <v>42</v>
      </c>
      <c r="C24" s="307"/>
      <c r="D24" s="307"/>
      <c r="E24" s="308"/>
      <c r="H24" s="315" t="s">
        <v>54</v>
      </c>
      <c r="I24" s="316"/>
      <c r="J24" s="317"/>
      <c r="K24" s="3"/>
      <c r="L24" s="318" t="s">
        <v>58</v>
      </c>
      <c r="M24" s="319"/>
      <c r="N24" s="320"/>
    </row>
    <row r="25" spans="2:14" x14ac:dyDescent="0.25">
      <c r="B25" s="309">
        <f>Inicio!D6*43</f>
        <v>39986.99</v>
      </c>
      <c r="C25" s="310"/>
      <c r="D25" s="29" cm="1">
        <f t="array" ref="D25:E25">$B$25*'Servicio de HyS Constr'!E6:F6</f>
        <v>539824.36499999999</v>
      </c>
      <c r="E25" s="30">
        <v>0</v>
      </c>
      <c r="H25" s="35"/>
      <c r="I25" s="1"/>
      <c r="J25" s="20"/>
      <c r="L25" s="17"/>
      <c r="M25" s="1"/>
      <c r="N25" s="20"/>
    </row>
    <row r="26" spans="2:14" x14ac:dyDescent="0.25">
      <c r="B26" s="311"/>
      <c r="C26" s="312"/>
      <c r="D26" s="29" cm="1">
        <f t="array" ref="D26:E26">$B$25*'Servicio de HyS Constr'!E7:F7</f>
        <v>899707.27499999991</v>
      </c>
      <c r="E26" s="31">
        <v>0</v>
      </c>
      <c r="H26" s="36">
        <f>Inicio!D6*200</f>
        <v>185986</v>
      </c>
      <c r="I26" s="1">
        <f>H26*0.3</f>
        <v>55795.799999999996</v>
      </c>
      <c r="J26" s="20"/>
      <c r="K26" s="17"/>
      <c r="L26" s="17">
        <f>Traslado!D4*Traslado!C6*3*0.1*1.8*N33</f>
        <v>100224</v>
      </c>
      <c r="M26" s="1"/>
      <c r="N26" s="20" t="s">
        <v>79</v>
      </c>
    </row>
    <row r="27" spans="2:14" x14ac:dyDescent="0.25">
      <c r="B27" s="311"/>
      <c r="C27" s="312"/>
      <c r="D27" s="29" cm="1">
        <f t="array" ref="D27:E27">$B$25*'Servicio de HyS Constr'!E8:F8</f>
        <v>1799414.5499999998</v>
      </c>
      <c r="E27" s="31">
        <v>0</v>
      </c>
      <c r="H27" s="35">
        <f>IF('Medicion de Puesta a Tierra'!D4=0,0,IF('Medicion de Puesta a Tierra'!D4=1,calculos!H26,calculos!H26*0.2*('Medicion de Puesta a Tierra'!D4-1)+H26))</f>
        <v>223183.2</v>
      </c>
      <c r="I27" s="1"/>
      <c r="J27" s="20"/>
      <c r="K27" s="17"/>
      <c r="L27" s="17">
        <f>IF(Traslado!F4="Camioneta",calculos!L26*1.5,calculos!L26)</f>
        <v>150336</v>
      </c>
      <c r="M27" s="1"/>
      <c r="N27" s="20" t="s">
        <v>80</v>
      </c>
    </row>
    <row r="28" spans="2:14" x14ac:dyDescent="0.25">
      <c r="B28" s="311"/>
      <c r="C28" s="312"/>
      <c r="D28" s="29" cm="1">
        <f t="array" ref="D28:E28">$B$25*'Servicio de HyS Constr'!E9:F9</f>
        <v>2699121.8249999997</v>
      </c>
      <c r="E28" s="31">
        <v>0</v>
      </c>
      <c r="H28" s="35" cm="1">
        <f t="array" ref="H28:H29">IF('Medicion de Puesta a Tierra'!D5:D6=0,0,IF('Medicion de Puesta a Tierra'!D5:D6=1,calculos!I26,calculos!I26*0.2*('Medicion de Puesta a Tierra'!D5:D6-1)+I26))</f>
        <v>89273.279999999999</v>
      </c>
      <c r="I28" s="18">
        <f>H27+H28+H30</f>
        <v>401729.76</v>
      </c>
      <c r="J28" s="20"/>
      <c r="K28" s="17"/>
      <c r="L28" s="17"/>
      <c r="M28" s="1"/>
      <c r="N28" s="20"/>
    </row>
    <row r="29" spans="2:14" x14ac:dyDescent="0.25">
      <c r="B29" s="311"/>
      <c r="C29" s="312"/>
      <c r="D29" s="29" cm="1">
        <f t="array" ref="D29:E29">$B$25*'Servicio de HyS Constr'!E10:F10</f>
        <v>5398243.6499999994</v>
      </c>
      <c r="E29" s="31">
        <v>0</v>
      </c>
      <c r="H29" s="35">
        <v>0</v>
      </c>
      <c r="I29" s="1"/>
      <c r="J29" s="20"/>
      <c r="L29" s="17"/>
      <c r="M29" s="1"/>
      <c r="N29" s="20" t="s">
        <v>88</v>
      </c>
    </row>
    <row r="30" spans="2:14" x14ac:dyDescent="0.25">
      <c r="B30" s="311"/>
      <c r="C30" s="312"/>
      <c r="D30" s="29" cm="1">
        <f t="array" ref="D30:E30">$B$25*'Servicio de HyS Constr'!E11:F11</f>
        <v>0</v>
      </c>
      <c r="E30" s="31">
        <v>0</v>
      </c>
      <c r="H30" s="35">
        <f>IF('Medicion de Puesta a Tierra'!D7=0,0,IF('Medicion de Puesta a Tierra'!D7=1,calculos!I26,calculos!I26*0.2*('Medicion de Puesta a Tierra'!D7-1)+I26))</f>
        <v>89273.279999999999</v>
      </c>
      <c r="I30" s="1"/>
      <c r="J30" s="20"/>
      <c r="L30" s="17"/>
      <c r="M30" s="1"/>
      <c r="N30" s="20" t="s">
        <v>87</v>
      </c>
    </row>
    <row r="31" spans="2:14" ht="15.75" thickBot="1" x14ac:dyDescent="0.3">
      <c r="B31" s="313"/>
      <c r="C31" s="314"/>
      <c r="D31" s="29"/>
      <c r="E31" s="32"/>
      <c r="H31" s="37"/>
      <c r="I31" s="22"/>
      <c r="J31" s="23"/>
      <c r="L31" s="17"/>
      <c r="M31" s="1"/>
      <c r="N31" s="20" t="s">
        <v>89</v>
      </c>
    </row>
    <row r="32" spans="2:14" x14ac:dyDescent="0.25">
      <c r="D32" s="3"/>
      <c r="E32" s="2"/>
      <c r="H32" s="3"/>
      <c r="L32" s="17"/>
      <c r="M32" s="1"/>
      <c r="N32" s="20"/>
    </row>
    <row r="33" spans="2:14" ht="15.75" thickBot="1" x14ac:dyDescent="0.3">
      <c r="D33" s="3"/>
      <c r="H33" s="3"/>
      <c r="L33" s="21"/>
      <c r="M33" s="22"/>
      <c r="N33" s="23">
        <f>IF(Traslado!H4="Asfalto", 1, IF(Traslado!H4="Ripio/Tierra", 1.2, IF(Traslado!H4="Brecha/Huella", 1.4,"")))</f>
        <v>1</v>
      </c>
    </row>
    <row r="34" spans="2:14" x14ac:dyDescent="0.25">
      <c r="H34" s="3"/>
    </row>
    <row r="35" spans="2:14" x14ac:dyDescent="0.25">
      <c r="B35" s="300" t="s">
        <v>62</v>
      </c>
      <c r="C35" s="301"/>
      <c r="D35" s="301"/>
      <c r="E35" s="302"/>
      <c r="G35" s="321" t="s">
        <v>82</v>
      </c>
      <c r="H35" s="322"/>
      <c r="I35" s="323"/>
      <c r="K35" s="297" t="s">
        <v>69</v>
      </c>
      <c r="L35" s="298"/>
      <c r="M35" s="298"/>
      <c r="N35" s="299"/>
    </row>
    <row r="36" spans="2:14" x14ac:dyDescent="0.25">
      <c r="B36" s="54"/>
      <c r="C36" s="54"/>
      <c r="D36" s="54"/>
      <c r="E36" s="54"/>
      <c r="G36" s="295" t="s">
        <v>83</v>
      </c>
      <c r="H36" s="296"/>
      <c r="I36" s="64">
        <f>G42*296</f>
        <v>275259.27999999997</v>
      </c>
      <c r="K36" s="54" t="s">
        <v>70</v>
      </c>
      <c r="L36" s="54">
        <f>'Carga Termica'!D3</f>
        <v>12</v>
      </c>
      <c r="M36" s="54" t="s">
        <v>73</v>
      </c>
      <c r="N36" s="54">
        <f>INT((L36-1)/5)*30</f>
        <v>60</v>
      </c>
    </row>
    <row r="37" spans="2:14" x14ac:dyDescent="0.25">
      <c r="B37" s="54">
        <f>Inicio!D6*181.3</f>
        <v>168596.30900000001</v>
      </c>
      <c r="C37" s="54"/>
      <c r="D37" s="54">
        <f>B37*4</f>
        <v>674385.23600000003</v>
      </c>
      <c r="E37" s="54">
        <f>(Traslado!D10-4)*0.5*B37</f>
        <v>-84298.154500000004</v>
      </c>
      <c r="G37" s="54"/>
      <c r="H37" s="54"/>
      <c r="I37" s="54"/>
      <c r="K37" s="54" t="s">
        <v>71</v>
      </c>
      <c r="L37" s="54">
        <f>N37+(N37*N36%)</f>
        <v>505881.92000000004</v>
      </c>
      <c r="M37" s="54" t="s">
        <v>72</v>
      </c>
      <c r="N37" s="54">
        <f>G42*N38</f>
        <v>316176.2</v>
      </c>
    </row>
    <row r="38" spans="2:14" x14ac:dyDescent="0.25">
      <c r="B38" s="54">
        <f>IF(Traslado!D10&lt;5,calculos!B37*Traslado!D10,D37+E37)</f>
        <v>505788.92700000003</v>
      </c>
      <c r="C38" s="54"/>
      <c r="D38" s="54"/>
      <c r="E38" s="54"/>
      <c r="G38" s="54"/>
      <c r="H38" s="54"/>
      <c r="I38" s="54"/>
      <c r="K38" s="54" t="s">
        <v>71</v>
      </c>
      <c r="L38" s="54"/>
      <c r="M38" s="54" t="s">
        <v>74</v>
      </c>
      <c r="N38">
        <v>340</v>
      </c>
    </row>
    <row r="39" spans="2:14" x14ac:dyDescent="0.25">
      <c r="K39" s="54"/>
      <c r="L39" s="54"/>
      <c r="M39" s="54"/>
      <c r="N39" s="54"/>
    </row>
    <row r="40" spans="2:14" x14ac:dyDescent="0.25">
      <c r="J40" s="55"/>
      <c r="K40" s="13" t="s">
        <v>4</v>
      </c>
      <c r="L40" s="54"/>
      <c r="M40" s="54"/>
      <c r="N40" s="54"/>
    </row>
    <row r="41" spans="2:14" ht="15.75" thickBot="1" x14ac:dyDescent="0.3">
      <c r="K41" s="13" t="s">
        <v>5</v>
      </c>
      <c r="L41" s="54"/>
      <c r="M41" s="54"/>
      <c r="N41" s="54"/>
    </row>
    <row r="42" spans="2:14" ht="15.75" thickBot="1" x14ac:dyDescent="0.3">
      <c r="F42" s="56" t="s">
        <v>75</v>
      </c>
      <c r="G42" s="47">
        <f>Inicio!D6</f>
        <v>929.93</v>
      </c>
      <c r="K42" s="13">
        <f>IF('Carga Termica'!D3=0,0,L37)</f>
        <v>505881.92000000004</v>
      </c>
      <c r="L42" s="54"/>
      <c r="M42" s="54"/>
      <c r="N42" s="54"/>
    </row>
    <row r="43" spans="2:14" x14ac:dyDescent="0.25">
      <c r="K43" s="13">
        <f>IF('Carga Termica'!I3="no",K42,K42*15%+K42)</f>
        <v>581764.2080000001</v>
      </c>
      <c r="L43" s="54"/>
      <c r="M43" s="54"/>
      <c r="N43" s="54"/>
    </row>
  </sheetData>
  <sheetProtection algorithmName="SHA-512" hashValue="Ov7qTF1x8BjwpFyWvktHe8Y1ZvzzQTgX5NDOLHqJf6UdVLAzAenNwsDaGZlkBP2n6puTcVrlD6h+q8qC+0b3Yw==" saltValue="RTardEEztWdMQlGLuguy/w==" spinCount="100000" sheet="1" objects="1" scenarios="1"/>
  <mergeCells count="9">
    <mergeCell ref="G36:H36"/>
    <mergeCell ref="K35:N35"/>
    <mergeCell ref="B35:E35"/>
    <mergeCell ref="F3:N3"/>
    <mergeCell ref="B24:E24"/>
    <mergeCell ref="B25:C31"/>
    <mergeCell ref="H24:J24"/>
    <mergeCell ref="L24:N24"/>
    <mergeCell ref="G35:I35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7" tint="0.39997558519241921"/>
  </sheetPr>
  <dimension ref="B2:AG32"/>
  <sheetViews>
    <sheetView showGridLines="0" zoomScale="90" zoomScaleNormal="90" workbookViewId="0">
      <selection activeCell="M9" sqref="M9"/>
    </sheetView>
  </sheetViews>
  <sheetFormatPr baseColWidth="10" defaultRowHeight="15" x14ac:dyDescent="0.25"/>
  <cols>
    <col min="1" max="1" width="7.7109375" customWidth="1"/>
    <col min="12" max="12" width="3.28515625" customWidth="1"/>
    <col min="13" max="13" width="11.42578125" customWidth="1"/>
    <col min="14" max="14" width="3.140625" customWidth="1"/>
    <col min="15" max="15" width="11.42578125" customWidth="1"/>
    <col min="16" max="16" width="2.140625" customWidth="1"/>
    <col min="17" max="17" width="12.42578125" customWidth="1"/>
    <col min="18" max="18" width="3.28515625" customWidth="1"/>
    <col min="19" max="19" width="11.42578125" customWidth="1"/>
    <col min="20" max="20" width="2.85546875" customWidth="1"/>
    <col min="21" max="21" width="11.42578125" customWidth="1"/>
  </cols>
  <sheetData>
    <row r="2" spans="2:33" ht="15.75" thickBot="1" x14ac:dyDescent="0.3"/>
    <row r="3" spans="2:33" ht="15.75" thickBot="1" x14ac:dyDescent="0.3">
      <c r="B3" s="4"/>
      <c r="C3" s="4"/>
      <c r="D3" s="4"/>
      <c r="E3" s="149" t="s">
        <v>26</v>
      </c>
      <c r="F3" s="150"/>
      <c r="G3" s="150"/>
      <c r="H3" s="150"/>
      <c r="I3" s="150"/>
      <c r="J3" s="151"/>
    </row>
    <row r="4" spans="2:33" x14ac:dyDescent="0.25">
      <c r="B4" s="115" t="s">
        <v>7</v>
      </c>
      <c r="C4" s="116"/>
      <c r="D4" s="116"/>
      <c r="E4" s="119" t="s">
        <v>8</v>
      </c>
      <c r="F4" s="119"/>
      <c r="G4" s="119" t="s">
        <v>9</v>
      </c>
      <c r="H4" s="119"/>
      <c r="I4" s="119" t="s">
        <v>10</v>
      </c>
      <c r="J4" s="120"/>
      <c r="N4" s="3"/>
      <c r="O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2:33" x14ac:dyDescent="0.25">
      <c r="B5" s="117"/>
      <c r="C5" s="118"/>
      <c r="D5" s="118"/>
      <c r="E5" s="121" t="s">
        <v>11</v>
      </c>
      <c r="F5" s="121"/>
      <c r="G5" s="121" t="s">
        <v>12</v>
      </c>
      <c r="H5" s="121"/>
      <c r="I5" s="121" t="s">
        <v>13</v>
      </c>
      <c r="J5" s="122"/>
      <c r="O5" s="3"/>
      <c r="P5" s="2"/>
      <c r="S5" s="3"/>
    </row>
    <row r="6" spans="2:33" x14ac:dyDescent="0.25">
      <c r="B6" s="130" t="s">
        <v>92</v>
      </c>
      <c r="C6" s="131"/>
      <c r="D6" s="131"/>
      <c r="E6" s="128">
        <f>calculos!F4</f>
        <v>272850.76130000001</v>
      </c>
      <c r="F6" s="128"/>
      <c r="G6" s="123">
        <f>calculos!H4</f>
        <v>272850.76130000001</v>
      </c>
      <c r="H6" s="124"/>
      <c r="I6" s="123">
        <f>calculos!L4</f>
        <v>272850.76130000001</v>
      </c>
      <c r="J6" s="129"/>
      <c r="O6" s="3"/>
      <c r="P6" s="2"/>
      <c r="S6" s="3"/>
    </row>
    <row r="7" spans="2:33" x14ac:dyDescent="0.25">
      <c r="B7" s="125" t="s">
        <v>94</v>
      </c>
      <c r="C7" s="126"/>
      <c r="D7" s="127"/>
      <c r="E7" s="128">
        <f>calculos!F5</f>
        <v>436561.21808000002</v>
      </c>
      <c r="F7" s="128"/>
      <c r="G7" s="123">
        <f>calculos!H5</f>
        <v>436561.21808000002</v>
      </c>
      <c r="H7" s="124"/>
      <c r="I7" s="123">
        <f>calculos!L5</f>
        <v>436561.21808000002</v>
      </c>
      <c r="J7" s="129"/>
      <c r="O7" s="3"/>
      <c r="P7" s="2"/>
      <c r="S7" s="3"/>
    </row>
    <row r="8" spans="2:33" ht="15.75" thickBot="1" x14ac:dyDescent="0.3">
      <c r="B8" s="130" t="s">
        <v>15</v>
      </c>
      <c r="C8" s="131"/>
      <c r="D8" s="131"/>
      <c r="E8" s="128">
        <f>calculos!F6</f>
        <v>654841.82712000003</v>
      </c>
      <c r="F8" s="128"/>
      <c r="G8" s="123">
        <f>calculos!H6</f>
        <v>873122.43616000004</v>
      </c>
      <c r="H8" s="124"/>
      <c r="I8" s="123">
        <f>calculos!L6</f>
        <v>873122.43616000004</v>
      </c>
      <c r="J8" s="129"/>
      <c r="O8" s="3"/>
      <c r="P8" s="2"/>
      <c r="S8" s="3"/>
    </row>
    <row r="9" spans="2:33" ht="15.75" thickBot="1" x14ac:dyDescent="0.3">
      <c r="B9" s="130" t="s">
        <v>16</v>
      </c>
      <c r="C9" s="131"/>
      <c r="D9" s="131"/>
      <c r="E9" s="128">
        <f>calculos!F7</f>
        <v>870939.63006960007</v>
      </c>
      <c r="F9" s="128"/>
      <c r="G9" s="123">
        <f>calculos!H7</f>
        <v>1200543.3497200001</v>
      </c>
      <c r="H9" s="124"/>
      <c r="I9" s="123">
        <f>calculos!L7</f>
        <v>1527964.2632800001</v>
      </c>
      <c r="J9" s="129"/>
      <c r="M9" s="34" t="s">
        <v>50</v>
      </c>
      <c r="O9" s="3"/>
      <c r="P9" s="2"/>
      <c r="S9" s="3"/>
    </row>
    <row r="10" spans="2:33" x14ac:dyDescent="0.25">
      <c r="B10" s="130" t="s">
        <v>17</v>
      </c>
      <c r="C10" s="131"/>
      <c r="D10" s="131"/>
      <c r="E10" s="128">
        <f>calculos!F8</f>
        <v>1088674.5375870001</v>
      </c>
      <c r="F10" s="128"/>
      <c r="G10" s="123">
        <f>calculos!H8</f>
        <v>1637104.5677999998</v>
      </c>
      <c r="H10" s="124"/>
      <c r="I10" s="123">
        <f>calculos!L8</f>
        <v>2401086.6994400001</v>
      </c>
      <c r="J10" s="129"/>
      <c r="O10" s="3"/>
      <c r="P10" s="2"/>
      <c r="S10" s="3"/>
    </row>
    <row r="11" spans="2:33" ht="15.75" thickBot="1" x14ac:dyDescent="0.3">
      <c r="B11" s="130" t="s">
        <v>18</v>
      </c>
      <c r="C11" s="131"/>
      <c r="D11" s="131"/>
      <c r="E11" s="128">
        <f>calculos!F9</f>
        <v>1306409.4451043999</v>
      </c>
      <c r="F11" s="128"/>
      <c r="G11" s="123">
        <f>calculos!H9</f>
        <v>2455656.8516999995</v>
      </c>
      <c r="H11" s="124"/>
      <c r="I11" s="123">
        <f>calculos!L9</f>
        <v>3274209.1355999997</v>
      </c>
      <c r="J11" s="129"/>
      <c r="O11" s="3"/>
      <c r="P11" s="2"/>
      <c r="S11" s="3"/>
    </row>
    <row r="12" spans="2:33" ht="15" customHeight="1" x14ac:dyDescent="0.25">
      <c r="B12" s="130" t="s">
        <v>19</v>
      </c>
      <c r="C12" s="131"/>
      <c r="D12" s="131"/>
      <c r="E12" s="128">
        <f>calculos!F10</f>
        <v>1515434.9563211037</v>
      </c>
      <c r="F12" s="128"/>
      <c r="G12" s="123">
        <f>calculos!H10</f>
        <v>3274209.1355999992</v>
      </c>
      <c r="H12" s="124"/>
      <c r="I12" s="123">
        <f>calculos!L10</f>
        <v>4256471.8762799995</v>
      </c>
      <c r="J12" s="129"/>
      <c r="L12" s="106" t="s">
        <v>64</v>
      </c>
      <c r="M12" s="107"/>
      <c r="N12" s="107"/>
      <c r="O12" s="108"/>
      <c r="P12" s="2"/>
      <c r="S12" s="3"/>
    </row>
    <row r="13" spans="2:33" x14ac:dyDescent="0.25">
      <c r="B13" s="130" t="s">
        <v>20</v>
      </c>
      <c r="C13" s="131"/>
      <c r="D13" s="131"/>
      <c r="E13" s="128">
        <f>calculos!F11</f>
        <v>1727595.850206058</v>
      </c>
      <c r="F13" s="128"/>
      <c r="G13" s="123">
        <f>calculos!H11</f>
        <v>4092761.4194999989</v>
      </c>
      <c r="H13" s="124"/>
      <c r="I13" s="123">
        <f>calculos!L11</f>
        <v>5238734.6169599993</v>
      </c>
      <c r="J13" s="129"/>
      <c r="L13" s="109"/>
      <c r="M13" s="110"/>
      <c r="N13" s="110"/>
      <c r="O13" s="111"/>
      <c r="P13" s="2"/>
      <c r="S13" s="3"/>
    </row>
    <row r="14" spans="2:33" x14ac:dyDescent="0.25">
      <c r="B14" s="130" t="s">
        <v>21</v>
      </c>
      <c r="C14" s="131"/>
      <c r="D14" s="131"/>
      <c r="E14" s="128">
        <f>calculos!F12</f>
        <v>1934907.3522307852</v>
      </c>
      <c r="F14" s="128"/>
      <c r="G14" s="123">
        <f>calculos!H12</f>
        <v>4911313.7033999981</v>
      </c>
      <c r="H14" s="124"/>
      <c r="I14" s="123">
        <f>calculos!L12</f>
        <v>6220997.3576399991</v>
      </c>
      <c r="J14" s="129"/>
      <c r="L14" s="109"/>
      <c r="M14" s="110"/>
      <c r="N14" s="110"/>
      <c r="O14" s="111"/>
      <c r="P14" s="2"/>
      <c r="S14" s="3"/>
    </row>
    <row r="15" spans="2:33" ht="15.75" thickBot="1" x14ac:dyDescent="0.3">
      <c r="B15" s="130" t="s">
        <v>22</v>
      </c>
      <c r="C15" s="131"/>
      <c r="D15" s="131"/>
      <c r="E15" s="128">
        <f>calculos!F13</f>
        <v>2147747.160976172</v>
      </c>
      <c r="F15" s="128"/>
      <c r="G15" s="123">
        <f>calculos!H13</f>
        <v>5729865.9872999983</v>
      </c>
      <c r="H15" s="124"/>
      <c r="I15" s="123">
        <f>calculos!L13</f>
        <v>7203260.0983199989</v>
      </c>
      <c r="J15" s="129"/>
      <c r="L15" s="112"/>
      <c r="M15" s="113"/>
      <c r="N15" s="113"/>
      <c r="O15" s="114"/>
      <c r="P15" s="2"/>
      <c r="S15" s="3"/>
    </row>
    <row r="16" spans="2:33" x14ac:dyDescent="0.25">
      <c r="B16" s="130" t="s">
        <v>23</v>
      </c>
      <c r="C16" s="131"/>
      <c r="D16" s="131"/>
      <c r="E16" s="128">
        <f>calculos!F14</f>
        <v>2383999.348683551</v>
      </c>
      <c r="F16" s="128"/>
      <c r="G16" s="123">
        <f>calculos!H14</f>
        <v>6548418.2711999975</v>
      </c>
      <c r="H16" s="124"/>
      <c r="I16" s="123">
        <f>calculos!L14</f>
        <v>8185522.8389999997</v>
      </c>
      <c r="J16" s="129"/>
      <c r="O16" s="3"/>
      <c r="P16" s="2"/>
      <c r="S16" s="3"/>
    </row>
    <row r="17" spans="2:19" x14ac:dyDescent="0.25">
      <c r="B17" s="130" t="s">
        <v>24</v>
      </c>
      <c r="C17" s="131"/>
      <c r="D17" s="131"/>
      <c r="E17" s="128">
        <f>calculos!F15</f>
        <v>2646239.2770387419</v>
      </c>
      <c r="F17" s="128"/>
      <c r="G17" s="123">
        <f>calculos!H15</f>
        <v>7366970.5550999977</v>
      </c>
      <c r="H17" s="124"/>
      <c r="I17" s="123">
        <f>calculos!L15</f>
        <v>9167785.5796800014</v>
      </c>
      <c r="J17" s="129"/>
      <c r="O17" s="3"/>
      <c r="P17" s="2"/>
      <c r="S17" s="3"/>
    </row>
    <row r="18" spans="2:19" ht="15.75" thickBot="1" x14ac:dyDescent="0.3">
      <c r="B18" s="133" t="s">
        <v>25</v>
      </c>
      <c r="C18" s="134"/>
      <c r="D18" s="135"/>
      <c r="E18" s="128">
        <f>calculos!F16</f>
        <v>2937325.5975130037</v>
      </c>
      <c r="F18" s="128"/>
      <c r="G18" s="123">
        <f>calculos!H16</f>
        <v>8185522.8389999978</v>
      </c>
      <c r="H18" s="124"/>
      <c r="I18" s="123">
        <f>calculos!L16</f>
        <v>10150048.320360001</v>
      </c>
      <c r="J18" s="129"/>
      <c r="O18" s="3"/>
      <c r="P18" s="2"/>
      <c r="S18" s="3"/>
    </row>
    <row r="19" spans="2:19" ht="6.75" customHeight="1" x14ac:dyDescent="0.25">
      <c r="B19" s="132"/>
      <c r="C19" s="132"/>
      <c r="D19" s="132"/>
      <c r="E19" s="136"/>
      <c r="F19" s="136"/>
      <c r="G19" s="136"/>
      <c r="H19" s="136"/>
      <c r="I19" s="136"/>
      <c r="J19" s="136"/>
      <c r="S19" s="3"/>
    </row>
    <row r="20" spans="2:19" ht="9.75" customHeight="1" x14ac:dyDescent="0.25">
      <c r="B20" s="132"/>
      <c r="C20" s="132"/>
      <c r="D20" s="132"/>
      <c r="E20" s="136"/>
      <c r="F20" s="136"/>
      <c r="G20" s="136"/>
      <c r="H20" s="136"/>
      <c r="I20" s="136"/>
      <c r="J20" s="136"/>
      <c r="S20" s="3"/>
    </row>
    <row r="21" spans="2:19" ht="9" customHeight="1" thickBot="1" x14ac:dyDescent="0.3">
      <c r="B21" s="1"/>
      <c r="C21" s="1"/>
      <c r="D21" s="1"/>
      <c r="E21" s="1"/>
      <c r="F21" s="1"/>
      <c r="G21" s="1"/>
      <c r="H21" s="1"/>
      <c r="I21" s="1"/>
      <c r="J21" s="1"/>
    </row>
    <row r="22" spans="2:19" ht="16.5" customHeight="1" x14ac:dyDescent="0.25">
      <c r="B22" s="94" t="s">
        <v>33</v>
      </c>
      <c r="C22" s="95"/>
      <c r="D22" s="100" t="s">
        <v>32</v>
      </c>
      <c r="E22" s="100"/>
      <c r="F22" s="100"/>
      <c r="G22" s="100"/>
      <c r="H22" s="100"/>
      <c r="I22" s="100"/>
      <c r="J22" s="101"/>
    </row>
    <row r="23" spans="2:19" ht="6" customHeight="1" x14ac:dyDescent="0.25">
      <c r="B23" s="96"/>
      <c r="C23" s="97"/>
      <c r="D23" s="102"/>
      <c r="E23" s="102"/>
      <c r="F23" s="102"/>
      <c r="G23" s="102"/>
      <c r="H23" s="102"/>
      <c r="I23" s="102"/>
      <c r="J23" s="103"/>
    </row>
    <row r="24" spans="2:19" x14ac:dyDescent="0.25">
      <c r="B24" s="96"/>
      <c r="C24" s="97"/>
      <c r="D24" s="102"/>
      <c r="E24" s="102"/>
      <c r="F24" s="102"/>
      <c r="G24" s="102"/>
      <c r="H24" s="102"/>
      <c r="I24" s="102"/>
      <c r="J24" s="103"/>
    </row>
    <row r="25" spans="2:19" x14ac:dyDescent="0.25">
      <c r="B25" s="96"/>
      <c r="C25" s="97"/>
      <c r="D25" s="102"/>
      <c r="E25" s="102"/>
      <c r="F25" s="102"/>
      <c r="G25" s="102"/>
      <c r="H25" s="102"/>
      <c r="I25" s="102"/>
      <c r="J25" s="103"/>
    </row>
    <row r="26" spans="2:19" ht="15.75" thickBot="1" x14ac:dyDescent="0.3">
      <c r="B26" s="98"/>
      <c r="C26" s="99"/>
      <c r="D26" s="104"/>
      <c r="E26" s="104"/>
      <c r="F26" s="104"/>
      <c r="G26" s="104"/>
      <c r="H26" s="104"/>
      <c r="I26" s="104"/>
      <c r="J26" s="105"/>
    </row>
    <row r="28" spans="2:19" ht="5.25" customHeight="1" x14ac:dyDescent="0.25"/>
    <row r="29" spans="2:19" ht="13.5" customHeight="1" thickBot="1" x14ac:dyDescent="0.3"/>
    <row r="30" spans="2:19" ht="13.5" customHeight="1" x14ac:dyDescent="0.25">
      <c r="B30" s="137" t="s">
        <v>34</v>
      </c>
      <c r="C30" s="138"/>
      <c r="D30" s="143" t="s">
        <v>35</v>
      </c>
      <c r="E30" s="143"/>
      <c r="F30" s="143"/>
      <c r="G30" s="143"/>
      <c r="H30" s="143"/>
      <c r="I30" s="143"/>
      <c r="J30" s="144"/>
    </row>
    <row r="31" spans="2:19" x14ac:dyDescent="0.25">
      <c r="B31" s="139"/>
      <c r="C31" s="140"/>
      <c r="D31" s="145"/>
      <c r="E31" s="145"/>
      <c r="F31" s="145"/>
      <c r="G31" s="145"/>
      <c r="H31" s="145"/>
      <c r="I31" s="145"/>
      <c r="J31" s="146"/>
    </row>
    <row r="32" spans="2:19" ht="15.75" thickBot="1" x14ac:dyDescent="0.3">
      <c r="B32" s="141"/>
      <c r="C32" s="142"/>
      <c r="D32" s="147"/>
      <c r="E32" s="147"/>
      <c r="F32" s="147"/>
      <c r="G32" s="147"/>
      <c r="H32" s="147"/>
      <c r="I32" s="147"/>
      <c r="J32" s="148"/>
    </row>
  </sheetData>
  <sheetProtection algorithmName="SHA-512" hashValue="5gnmtA4SVsZay8+IZl9uwmSQ48MtHKnaD0vrlNx0hLZ+xE5YiU9nYFK29vt2M8RU3yBFidHlFTq7dXwOvwUIFg==" saltValue="xLfXzOS0HJyRqw897J9Dhg==" spinCount="100000" sheet="1" objects="1" scenarios="1"/>
  <mergeCells count="73">
    <mergeCell ref="B30:C32"/>
    <mergeCell ref="D30:J32"/>
    <mergeCell ref="E3:J3"/>
    <mergeCell ref="I16:J16"/>
    <mergeCell ref="I17:J17"/>
    <mergeCell ref="I18:J18"/>
    <mergeCell ref="I19:J19"/>
    <mergeCell ref="I20:J20"/>
    <mergeCell ref="G20:H20"/>
    <mergeCell ref="I6:J6"/>
    <mergeCell ref="I8:J8"/>
    <mergeCell ref="I9:J9"/>
    <mergeCell ref="I10:J10"/>
    <mergeCell ref="G16:H16"/>
    <mergeCell ref="G17:H17"/>
    <mergeCell ref="I11:J11"/>
    <mergeCell ref="I12:J12"/>
    <mergeCell ref="I13:J13"/>
    <mergeCell ref="I14:J14"/>
    <mergeCell ref="I15:J15"/>
    <mergeCell ref="G19:H19"/>
    <mergeCell ref="E20:F20"/>
    <mergeCell ref="G6:H6"/>
    <mergeCell ref="G8:H8"/>
    <mergeCell ref="G9:H9"/>
    <mergeCell ref="G10:H10"/>
    <mergeCell ref="G11:H11"/>
    <mergeCell ref="G12:H12"/>
    <mergeCell ref="G13:H13"/>
    <mergeCell ref="G14:H14"/>
    <mergeCell ref="E14:F14"/>
    <mergeCell ref="E15:F15"/>
    <mergeCell ref="E16:F16"/>
    <mergeCell ref="E17:F17"/>
    <mergeCell ref="E18:F18"/>
    <mergeCell ref="G18:H18"/>
    <mergeCell ref="B20:D20"/>
    <mergeCell ref="E6:F6"/>
    <mergeCell ref="E8:F8"/>
    <mergeCell ref="E9:F9"/>
    <mergeCell ref="E10:F10"/>
    <mergeCell ref="E11:F11"/>
    <mergeCell ref="E12:F12"/>
    <mergeCell ref="E13:F13"/>
    <mergeCell ref="B13:D13"/>
    <mergeCell ref="B14:D14"/>
    <mergeCell ref="B15:D15"/>
    <mergeCell ref="B16:D16"/>
    <mergeCell ref="B17:D17"/>
    <mergeCell ref="B18:D18"/>
    <mergeCell ref="B6:D6"/>
    <mergeCell ref="E19:F19"/>
    <mergeCell ref="B9:D9"/>
    <mergeCell ref="B10:D10"/>
    <mergeCell ref="B11:D11"/>
    <mergeCell ref="B12:D12"/>
    <mergeCell ref="B19:D19"/>
    <mergeCell ref="B22:C26"/>
    <mergeCell ref="D22:J26"/>
    <mergeCell ref="L12:O15"/>
    <mergeCell ref="B4:D5"/>
    <mergeCell ref="E4:F4"/>
    <mergeCell ref="G4:H4"/>
    <mergeCell ref="I4:J4"/>
    <mergeCell ref="E5:F5"/>
    <mergeCell ref="G5:H5"/>
    <mergeCell ref="I5:J5"/>
    <mergeCell ref="G15:H15"/>
    <mergeCell ref="B7:D7"/>
    <mergeCell ref="E7:F7"/>
    <mergeCell ref="G7:H7"/>
    <mergeCell ref="I7:J7"/>
    <mergeCell ref="B8:D8"/>
  </mergeCells>
  <hyperlinks>
    <hyperlink ref="M9" location="Inicio!A1" display="INICIO" xr:uid="{00000000-0004-0000-0100-000000000000}"/>
    <hyperlink ref="L12:O15" location="Traslado!A1" display="Los valores indicados no incluyen los gastos de traslado, que pueden calcularse haciendo click aquí " xr:uid="{00000000-0004-0000-0100-000001000000}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4" tint="0.59999389629810485"/>
  </sheetPr>
  <dimension ref="B2:AG24"/>
  <sheetViews>
    <sheetView showGridLines="0" showRowColHeaders="0" topLeftCell="A2" workbookViewId="0">
      <selection activeCell="M14" sqref="M14"/>
    </sheetView>
  </sheetViews>
  <sheetFormatPr baseColWidth="10" defaultRowHeight="15" x14ac:dyDescent="0.25"/>
  <cols>
    <col min="1" max="1" width="7.7109375" customWidth="1"/>
    <col min="9" max="9" width="3.28515625" customWidth="1"/>
    <col min="10" max="11" width="11.42578125" customWidth="1"/>
    <col min="12" max="12" width="3.28515625" customWidth="1"/>
    <col min="13" max="13" width="11.42578125" customWidth="1"/>
    <col min="14" max="14" width="3.140625" customWidth="1"/>
    <col min="15" max="15" width="11.42578125" customWidth="1"/>
    <col min="16" max="16" width="2.140625" customWidth="1"/>
    <col min="17" max="17" width="12.42578125" customWidth="1"/>
    <col min="18" max="18" width="3.28515625" customWidth="1"/>
    <col min="19" max="19" width="11.42578125" customWidth="1"/>
    <col min="20" max="20" width="2.85546875" customWidth="1"/>
    <col min="21" max="22" width="11.42578125" customWidth="1"/>
  </cols>
  <sheetData>
    <row r="2" spans="2:33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2:33" ht="15.75" customHeight="1" thickBot="1" x14ac:dyDescent="0.3">
      <c r="B3" s="46"/>
      <c r="C3" s="46"/>
      <c r="D3" s="46"/>
      <c r="E3" s="202" t="s">
        <v>26</v>
      </c>
      <c r="F3" s="203"/>
      <c r="G3" s="203"/>
      <c r="H3" s="204"/>
      <c r="I3" s="7"/>
      <c r="J3" s="186" t="s">
        <v>36</v>
      </c>
      <c r="K3" s="187"/>
      <c r="L3" s="25"/>
      <c r="M3" s="192" t="s">
        <v>90</v>
      </c>
      <c r="N3" s="192"/>
      <c r="O3" s="192"/>
      <c r="P3" s="192"/>
      <c r="Q3" s="192"/>
      <c r="R3" s="192"/>
      <c r="S3" s="192"/>
      <c r="T3" s="192"/>
      <c r="U3" s="193"/>
      <c r="V3" s="28"/>
      <c r="W3" s="28"/>
      <c r="X3" s="182"/>
      <c r="Y3" s="182"/>
      <c r="Z3" s="182"/>
      <c r="AA3" s="182"/>
      <c r="AB3" s="182"/>
      <c r="AC3" s="182"/>
    </row>
    <row r="4" spans="2:33" x14ac:dyDescent="0.25">
      <c r="B4" s="159" t="s">
        <v>27</v>
      </c>
      <c r="C4" s="160"/>
      <c r="D4" s="161"/>
      <c r="E4" s="198" t="s">
        <v>31</v>
      </c>
      <c r="F4" s="199"/>
      <c r="G4" s="198" t="s">
        <v>30</v>
      </c>
      <c r="H4" s="199"/>
      <c r="I4" s="8"/>
      <c r="J4" s="188"/>
      <c r="K4" s="189"/>
      <c r="L4" s="26"/>
      <c r="M4" s="194"/>
      <c r="N4" s="194"/>
      <c r="O4" s="194"/>
      <c r="P4" s="194"/>
      <c r="Q4" s="194"/>
      <c r="R4" s="194"/>
      <c r="S4" s="194"/>
      <c r="T4" s="194"/>
      <c r="U4" s="195"/>
      <c r="V4" s="28"/>
      <c r="W4" s="28"/>
      <c r="X4" s="182"/>
      <c r="Y4" s="182"/>
      <c r="Z4" s="182"/>
      <c r="AA4" s="182"/>
      <c r="AB4" s="182"/>
      <c r="AC4" s="182"/>
      <c r="AD4" s="3"/>
      <c r="AE4" s="3"/>
      <c r="AF4" s="3"/>
      <c r="AG4" s="3"/>
    </row>
    <row r="5" spans="2:33" x14ac:dyDescent="0.25">
      <c r="B5" s="162"/>
      <c r="C5" s="163"/>
      <c r="D5" s="164"/>
      <c r="E5" s="200"/>
      <c r="F5" s="201"/>
      <c r="G5" s="200"/>
      <c r="H5" s="201"/>
      <c r="I5" s="7"/>
      <c r="J5" s="188"/>
      <c r="K5" s="189"/>
      <c r="L5" s="26"/>
      <c r="M5" s="194"/>
      <c r="N5" s="194"/>
      <c r="O5" s="194"/>
      <c r="P5" s="194"/>
      <c r="Q5" s="194"/>
      <c r="R5" s="194"/>
      <c r="S5" s="194"/>
      <c r="T5" s="194"/>
      <c r="U5" s="195"/>
      <c r="V5" s="28"/>
      <c r="W5" s="28"/>
      <c r="X5" s="182"/>
      <c r="Y5" s="182"/>
      <c r="Z5" s="182"/>
      <c r="AA5" s="182"/>
      <c r="AB5" s="182"/>
      <c r="AC5" s="182"/>
    </row>
    <row r="6" spans="2:33" ht="15.75" thickBot="1" x14ac:dyDescent="0.3">
      <c r="B6" s="154" t="s">
        <v>14</v>
      </c>
      <c r="C6" s="155"/>
      <c r="D6" s="156"/>
      <c r="E6" s="157">
        <v>13.5</v>
      </c>
      <c r="F6" s="158"/>
      <c r="G6" s="152">
        <f>calculos!D25</f>
        <v>539824.36499999999</v>
      </c>
      <c r="H6" s="153"/>
      <c r="I6" s="9"/>
      <c r="J6" s="190"/>
      <c r="K6" s="191"/>
      <c r="L6" s="27"/>
      <c r="M6" s="196"/>
      <c r="N6" s="196"/>
      <c r="O6" s="196"/>
      <c r="P6" s="196"/>
      <c r="Q6" s="196"/>
      <c r="R6" s="196"/>
      <c r="S6" s="196"/>
      <c r="T6" s="196"/>
      <c r="U6" s="197"/>
      <c r="V6" s="28"/>
      <c r="W6" s="28"/>
      <c r="X6" s="182"/>
      <c r="Y6" s="182"/>
      <c r="Z6" s="182"/>
      <c r="AA6" s="182"/>
      <c r="AB6" s="182"/>
      <c r="AC6" s="182"/>
    </row>
    <row r="7" spans="2:33" x14ac:dyDescent="0.25">
      <c r="B7" s="154" t="s">
        <v>28</v>
      </c>
      <c r="C7" s="155"/>
      <c r="D7" s="156"/>
      <c r="E7" s="157">
        <v>22.5</v>
      </c>
      <c r="F7" s="158"/>
      <c r="G7" s="152">
        <f>calculos!D26</f>
        <v>899707.27499999991</v>
      </c>
      <c r="H7" s="153"/>
      <c r="I7" s="9"/>
      <c r="J7" s="9"/>
    </row>
    <row r="8" spans="2:33" x14ac:dyDescent="0.25">
      <c r="B8" s="154" t="s">
        <v>29</v>
      </c>
      <c r="C8" s="155"/>
      <c r="D8" s="156"/>
      <c r="E8" s="157">
        <v>45</v>
      </c>
      <c r="F8" s="158"/>
      <c r="G8" s="152">
        <f>calculos!D27</f>
        <v>1799414.5499999998</v>
      </c>
      <c r="H8" s="153"/>
      <c r="I8" s="9"/>
      <c r="J8" s="9"/>
    </row>
    <row r="9" spans="2:33" x14ac:dyDescent="0.25">
      <c r="B9" s="154" t="s">
        <v>18</v>
      </c>
      <c r="C9" s="155"/>
      <c r="D9" s="156"/>
      <c r="E9" s="157">
        <v>67.5</v>
      </c>
      <c r="F9" s="158"/>
      <c r="G9" s="152">
        <f>calculos!D28</f>
        <v>2699121.8249999997</v>
      </c>
      <c r="H9" s="153"/>
      <c r="I9" s="9"/>
      <c r="J9" s="9"/>
    </row>
    <row r="10" spans="2:33" ht="15.75" thickBot="1" x14ac:dyDescent="0.3">
      <c r="B10" s="177" t="s">
        <v>19</v>
      </c>
      <c r="C10" s="178"/>
      <c r="D10" s="179"/>
      <c r="E10" s="180">
        <v>135</v>
      </c>
      <c r="F10" s="181"/>
      <c r="G10" s="152">
        <f>calculos!D29</f>
        <v>5398243.6499999994</v>
      </c>
      <c r="H10" s="153"/>
      <c r="I10" s="9"/>
      <c r="J10" s="9"/>
    </row>
    <row r="11" spans="2:33" x14ac:dyDescent="0.25">
      <c r="B11" s="45"/>
      <c r="C11" s="45"/>
      <c r="D11" s="45"/>
      <c r="E11" s="45"/>
      <c r="F11" s="45"/>
      <c r="G11" s="45"/>
      <c r="H11" s="45"/>
      <c r="I11" s="10"/>
      <c r="J11" s="10"/>
      <c r="K11" s="1"/>
    </row>
    <row r="12" spans="2:33" ht="15.75" thickBot="1" x14ac:dyDescent="0.3">
      <c r="B12" s="10"/>
      <c r="C12" s="10"/>
      <c r="D12" s="10"/>
      <c r="E12" s="10"/>
      <c r="F12" s="10"/>
      <c r="G12" s="10"/>
      <c r="H12" s="10"/>
      <c r="I12" s="10"/>
      <c r="J12" s="10"/>
      <c r="K12" s="1"/>
    </row>
    <row r="13" spans="2:33" ht="15.75" thickBot="1" x14ac:dyDescent="0.3">
      <c r="B13" s="165" t="s">
        <v>43</v>
      </c>
      <c r="C13" s="166"/>
      <c r="D13" s="167"/>
      <c r="E13" s="171" t="s">
        <v>93</v>
      </c>
      <c r="F13" s="172"/>
      <c r="G13" s="172"/>
      <c r="H13" s="172"/>
      <c r="I13" s="172"/>
      <c r="J13" s="173"/>
      <c r="K13" s="1"/>
    </row>
    <row r="14" spans="2:33" ht="15.75" thickBot="1" x14ac:dyDescent="0.3">
      <c r="B14" s="183"/>
      <c r="C14" s="184"/>
      <c r="D14" s="185"/>
      <c r="E14" s="205"/>
      <c r="F14" s="206"/>
      <c r="G14" s="206"/>
      <c r="H14" s="206"/>
      <c r="I14" s="206"/>
      <c r="J14" s="207"/>
      <c r="K14" s="1"/>
      <c r="M14" s="34" t="s">
        <v>50</v>
      </c>
    </row>
    <row r="15" spans="2:33" ht="15.75" thickBot="1" x14ac:dyDescent="0.3">
      <c r="B15" s="168"/>
      <c r="C15" s="169"/>
      <c r="D15" s="170"/>
      <c r="E15" s="174"/>
      <c r="F15" s="175"/>
      <c r="G15" s="175"/>
      <c r="H15" s="175"/>
      <c r="I15" s="175"/>
      <c r="J15" s="176"/>
      <c r="K15" s="1"/>
    </row>
    <row r="16" spans="2:33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"/>
    </row>
    <row r="17" spans="2:19" ht="15.75" thickBot="1" x14ac:dyDescent="0.3">
      <c r="B17" s="10"/>
      <c r="C17" s="10"/>
      <c r="D17" s="10"/>
      <c r="E17" s="10"/>
      <c r="F17" s="10"/>
      <c r="G17" s="10"/>
      <c r="H17" s="10"/>
      <c r="I17" s="10"/>
      <c r="J17" s="10"/>
      <c r="K17" s="1"/>
    </row>
    <row r="18" spans="2:19" ht="60" customHeight="1" x14ac:dyDescent="0.25">
      <c r="B18" s="165" t="s">
        <v>44</v>
      </c>
      <c r="C18" s="166"/>
      <c r="D18" s="167"/>
      <c r="E18" s="171" t="s">
        <v>35</v>
      </c>
      <c r="F18" s="172"/>
      <c r="G18" s="172"/>
      <c r="H18" s="172"/>
      <c r="I18" s="172"/>
      <c r="J18" s="173"/>
      <c r="K18" s="1"/>
      <c r="M18" s="106" t="s">
        <v>64</v>
      </c>
      <c r="N18" s="107"/>
      <c r="O18" s="107"/>
      <c r="P18" s="108"/>
    </row>
    <row r="19" spans="2:19" ht="15" customHeight="1" thickBot="1" x14ac:dyDescent="0.3">
      <c r="B19" s="168"/>
      <c r="C19" s="169"/>
      <c r="D19" s="170"/>
      <c r="E19" s="174"/>
      <c r="F19" s="175"/>
      <c r="G19" s="175"/>
      <c r="H19" s="175"/>
      <c r="I19" s="175"/>
      <c r="J19" s="176"/>
      <c r="K19" s="1"/>
      <c r="M19" s="109"/>
      <c r="N19" s="110"/>
      <c r="O19" s="110"/>
      <c r="P19" s="111"/>
      <c r="S19" s="3"/>
    </row>
    <row r="20" spans="2:19" x14ac:dyDescent="0.25">
      <c r="B20" s="33"/>
      <c r="C20" s="33"/>
      <c r="D20" s="33"/>
      <c r="E20" s="33"/>
      <c r="F20" s="33"/>
      <c r="G20" s="33"/>
      <c r="H20" s="33"/>
      <c r="I20" s="33"/>
      <c r="J20" s="33"/>
      <c r="K20" s="1"/>
      <c r="M20" s="109"/>
      <c r="N20" s="110"/>
      <c r="O20" s="110"/>
      <c r="P20" s="111"/>
    </row>
    <row r="21" spans="2:19" ht="15.75" thickBot="1" x14ac:dyDescent="0.3">
      <c r="B21" s="33"/>
      <c r="C21" s="33"/>
      <c r="D21" s="33"/>
      <c r="E21" s="33"/>
      <c r="F21" s="33"/>
      <c r="G21" s="33"/>
      <c r="H21" s="33"/>
      <c r="I21" s="33"/>
      <c r="J21" s="33"/>
      <c r="K21" s="1"/>
      <c r="M21" s="112"/>
      <c r="N21" s="113"/>
      <c r="O21" s="113"/>
      <c r="P21" s="114"/>
    </row>
    <row r="22" spans="2:19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"/>
    </row>
    <row r="23" spans="2:19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"/>
    </row>
    <row r="24" spans="2:19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"/>
    </row>
  </sheetData>
  <sheetProtection algorithmName="SHA-512" hashValue="w7gDGWqrXN6JzSNLyl3k40mThtFa29+HZbeBidGaLnVuZ2F7H5XiYMvEMRCK81LlR+qlbwtICuqnwG9uRrhb/A==" saltValue="cEWjOR7LJsZu5PvHoutv9g==" spinCount="100000" sheet="1" objects="1" scenarios="1"/>
  <mergeCells count="27">
    <mergeCell ref="X3:AC6"/>
    <mergeCell ref="B13:D15"/>
    <mergeCell ref="J3:K6"/>
    <mergeCell ref="M3:U6"/>
    <mergeCell ref="E4:F5"/>
    <mergeCell ref="E3:H3"/>
    <mergeCell ref="G4:H5"/>
    <mergeCell ref="E13:J15"/>
    <mergeCell ref="B8:D8"/>
    <mergeCell ref="E8:F8"/>
    <mergeCell ref="G8:H8"/>
    <mergeCell ref="B9:D9"/>
    <mergeCell ref="E9:F9"/>
    <mergeCell ref="G9:H9"/>
    <mergeCell ref="B6:D6"/>
    <mergeCell ref="E6:F6"/>
    <mergeCell ref="B4:D5"/>
    <mergeCell ref="B18:D19"/>
    <mergeCell ref="E18:J19"/>
    <mergeCell ref="B10:D10"/>
    <mergeCell ref="E10:F10"/>
    <mergeCell ref="G10:H10"/>
    <mergeCell ref="M18:P21"/>
    <mergeCell ref="G6:H6"/>
    <mergeCell ref="B7:D7"/>
    <mergeCell ref="E7:F7"/>
    <mergeCell ref="G7:H7"/>
  </mergeCells>
  <hyperlinks>
    <hyperlink ref="M14" location="Inicio!A1" display="INICIO" xr:uid="{00000000-0004-0000-0200-000000000000}"/>
    <hyperlink ref="M18:P21" location="Traslado!A1" display="Los valores indicados no incluyen los gastos de traslado, que pueden calcularse haciendo click aquí " xr:uid="{00000000-0004-0000-0200-000001000000}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B0F0"/>
  </sheetPr>
  <dimension ref="B1:O14"/>
  <sheetViews>
    <sheetView showGridLines="0" showRowColHeaders="0" workbookViewId="0">
      <selection activeCell="K5" sqref="K5"/>
    </sheetView>
  </sheetViews>
  <sheetFormatPr baseColWidth="10" defaultRowHeight="15" x14ac:dyDescent="0.25"/>
  <cols>
    <col min="1" max="2" width="11.42578125" style="48"/>
    <col min="3" max="3" width="12.140625" style="48" customWidth="1"/>
    <col min="4" max="4" width="13.28515625" style="48" customWidth="1"/>
    <col min="5" max="6" width="11.42578125" style="48"/>
    <col min="7" max="7" width="17.42578125" style="48" customWidth="1"/>
    <col min="8" max="8" width="5.28515625" style="48" customWidth="1"/>
    <col min="9" max="9" width="11.42578125" style="48" customWidth="1"/>
    <col min="10" max="14" width="11.42578125" style="48"/>
    <col min="15" max="15" width="12" style="48" customWidth="1"/>
    <col min="16" max="16384" width="11.42578125" style="48"/>
  </cols>
  <sheetData>
    <row r="1" spans="2:15" ht="15.75" thickBot="1" x14ac:dyDescent="0.3"/>
    <row r="2" spans="2:15" ht="15.75" thickBot="1" x14ac:dyDescent="0.3">
      <c r="C2" s="217" t="s">
        <v>2</v>
      </c>
      <c r="D2" s="218"/>
      <c r="E2" s="218"/>
      <c r="F2" s="219"/>
    </row>
    <row r="3" spans="2:15" ht="15.75" thickBot="1" x14ac:dyDescent="0.3"/>
    <row r="4" spans="2:15" ht="15.75" thickBot="1" x14ac:dyDescent="0.3">
      <c r="B4" s="220" t="s">
        <v>0</v>
      </c>
      <c r="C4" s="221"/>
      <c r="D4" s="42">
        <v>20</v>
      </c>
      <c r="F4" s="222" t="s">
        <v>3</v>
      </c>
      <c r="G4" s="223"/>
      <c r="H4" s="43" t="s">
        <v>5</v>
      </c>
    </row>
    <row r="5" spans="2:15" ht="15.75" thickBot="1" x14ac:dyDescent="0.3">
      <c r="B5" s="224" t="s">
        <v>1</v>
      </c>
      <c r="C5" s="225"/>
      <c r="D5" s="44">
        <f>calculos!B10</f>
        <v>362672.7</v>
      </c>
      <c r="K5" s="74" t="s">
        <v>50</v>
      </c>
    </row>
    <row r="10" spans="2:15" ht="15.75" thickBot="1" x14ac:dyDescent="0.3"/>
    <row r="11" spans="2:15" ht="15" customHeight="1" x14ac:dyDescent="0.25">
      <c r="B11" s="226" t="s">
        <v>33</v>
      </c>
      <c r="C11" s="227"/>
      <c r="D11" s="232" t="s">
        <v>45</v>
      </c>
      <c r="E11" s="232"/>
      <c r="F11" s="232"/>
      <c r="G11" s="232"/>
      <c r="H11" s="232"/>
      <c r="I11" s="232"/>
      <c r="J11" s="233"/>
      <c r="L11" s="208" t="s">
        <v>64</v>
      </c>
      <c r="M11" s="209"/>
      <c r="N11" s="209"/>
      <c r="O11" s="210"/>
    </row>
    <row r="12" spans="2:15" x14ac:dyDescent="0.25">
      <c r="B12" s="228"/>
      <c r="C12" s="229"/>
      <c r="D12" s="234"/>
      <c r="E12" s="234"/>
      <c r="F12" s="234"/>
      <c r="G12" s="234"/>
      <c r="H12" s="234"/>
      <c r="I12" s="234"/>
      <c r="J12" s="235"/>
      <c r="L12" s="211"/>
      <c r="M12" s="212"/>
      <c r="N12" s="212"/>
      <c r="O12" s="213"/>
    </row>
    <row r="13" spans="2:15" x14ac:dyDescent="0.25">
      <c r="B13" s="228"/>
      <c r="C13" s="229"/>
      <c r="D13" s="234"/>
      <c r="E13" s="234"/>
      <c r="F13" s="234"/>
      <c r="G13" s="234"/>
      <c r="H13" s="234"/>
      <c r="I13" s="234"/>
      <c r="J13" s="235"/>
      <c r="L13" s="211"/>
      <c r="M13" s="212"/>
      <c r="N13" s="212"/>
      <c r="O13" s="213"/>
    </row>
    <row r="14" spans="2:15" ht="15.75" thickBot="1" x14ac:dyDescent="0.3">
      <c r="B14" s="230"/>
      <c r="C14" s="231"/>
      <c r="D14" s="236"/>
      <c r="E14" s="236"/>
      <c r="F14" s="236"/>
      <c r="G14" s="236"/>
      <c r="H14" s="236"/>
      <c r="I14" s="236"/>
      <c r="J14" s="237"/>
      <c r="L14" s="214"/>
      <c r="M14" s="215"/>
      <c r="N14" s="215"/>
      <c r="O14" s="216"/>
    </row>
  </sheetData>
  <sheetProtection algorithmName="SHA-512" hashValue="mcaJ50rarbtYP+jenDSjPDLtQokYA3J2/z1cti+1XGJpw7tjN2emkwYUJ8aV1IaaTG2SElXbD+ZkLU+W/CG4Xg==" saltValue="J9V9gBRtNBb22nyy2Nw9mw==" spinCount="100000" sheet="1"/>
  <mergeCells count="7">
    <mergeCell ref="L11:O14"/>
    <mergeCell ref="C2:F2"/>
    <mergeCell ref="B4:C4"/>
    <mergeCell ref="F4:G4"/>
    <mergeCell ref="B5:C5"/>
    <mergeCell ref="B11:C14"/>
    <mergeCell ref="D11:J14"/>
  </mergeCells>
  <dataValidations count="1">
    <dataValidation type="list" allowBlank="1" showInputMessage="1" showErrorMessage="1" prompt="seleccionar uno" sqref="H5" xr:uid="{00000000-0002-0000-0300-000000000000}">
      <formula1>$I$7:$I$8</formula1>
    </dataValidation>
  </dataValidations>
  <hyperlinks>
    <hyperlink ref="L11:O14" location="Traslado!A1" display="Los valores indicados no incluyen los gastos de traslado, que pueden calcularse haciendo click aquí " xr:uid="{00000000-0004-0000-0300-000000000000}"/>
    <hyperlink ref="K5" location="Inicio!A1" display="INICIO" xr:uid="{00000000-0004-0000-0300-000001000000}"/>
  </hyperlink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cionar uno" xr:uid="{00000000-0002-0000-0300-000001000000}">
          <x14:formula1>
            <xm:f>calculos!$B$7:$B$8</xm:f>
          </x14:formula1>
          <xm:sqref>H4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7" tint="0.39997558519241921"/>
  </sheetPr>
  <dimension ref="B1:N20"/>
  <sheetViews>
    <sheetView showGridLines="0" showRowColHeaders="0" workbookViewId="0">
      <selection activeCell="K7" sqref="K7"/>
    </sheetView>
  </sheetViews>
  <sheetFormatPr baseColWidth="10" defaultRowHeight="15" x14ac:dyDescent="0.25"/>
  <cols>
    <col min="1" max="2" width="11.42578125" style="48"/>
    <col min="3" max="3" width="12.140625" style="48" customWidth="1"/>
    <col min="4" max="4" width="13.28515625" style="48" customWidth="1"/>
    <col min="5" max="6" width="11.42578125" style="48"/>
    <col min="7" max="7" width="17.42578125" style="48" customWidth="1"/>
    <col min="8" max="8" width="5.28515625" style="48" customWidth="1"/>
    <col min="9" max="9" width="11.42578125" style="48" customWidth="1"/>
    <col min="10" max="16384" width="11.42578125" style="48"/>
  </cols>
  <sheetData>
    <row r="1" spans="2:14" ht="15.75" thickBot="1" x14ac:dyDescent="0.3"/>
    <row r="2" spans="2:14" ht="15.75" thickBot="1" x14ac:dyDescent="0.3">
      <c r="C2" s="238" t="s">
        <v>46</v>
      </c>
      <c r="D2" s="239"/>
      <c r="E2" s="239"/>
      <c r="F2" s="240"/>
    </row>
    <row r="3" spans="2:14" ht="15.75" thickBot="1" x14ac:dyDescent="0.3"/>
    <row r="4" spans="2:14" ht="15.75" thickBot="1" x14ac:dyDescent="0.3">
      <c r="B4" s="241" t="s">
        <v>0</v>
      </c>
      <c r="C4" s="242"/>
      <c r="D4" s="42">
        <v>10</v>
      </c>
      <c r="F4" s="222" t="s">
        <v>3</v>
      </c>
      <c r="G4" s="223"/>
      <c r="H4" s="43" t="s">
        <v>5</v>
      </c>
    </row>
    <row r="5" spans="2:14" ht="15.75" thickBot="1" x14ac:dyDescent="0.3">
      <c r="B5" s="243" t="s">
        <v>1</v>
      </c>
      <c r="C5" s="244"/>
      <c r="D5" s="44">
        <f>calculos!D8</f>
        <v>269679.7</v>
      </c>
    </row>
    <row r="6" spans="2:14" ht="15.75" thickBot="1" x14ac:dyDescent="0.3"/>
    <row r="7" spans="2:14" ht="15.75" thickBot="1" x14ac:dyDescent="0.3">
      <c r="K7" s="39" t="s">
        <v>50</v>
      </c>
    </row>
    <row r="8" spans="2:14" ht="17.25" customHeight="1" x14ac:dyDescent="0.25">
      <c r="B8" s="245" t="s">
        <v>6</v>
      </c>
      <c r="C8" s="246"/>
      <c r="D8" s="246"/>
      <c r="E8" s="246"/>
      <c r="F8" s="247"/>
    </row>
    <row r="9" spans="2:14" ht="15.75" customHeight="1" thickBot="1" x14ac:dyDescent="0.3">
      <c r="B9" s="248"/>
      <c r="C9" s="249"/>
      <c r="D9" s="249"/>
      <c r="E9" s="249"/>
      <c r="F9" s="250"/>
    </row>
    <row r="10" spans="2:14" ht="15.75" customHeight="1" x14ac:dyDescent="0.25">
      <c r="B10" s="251"/>
      <c r="C10" s="252"/>
      <c r="D10" s="252"/>
      <c r="E10" s="252"/>
      <c r="F10" s="253"/>
      <c r="K10" s="208" t="s">
        <v>64</v>
      </c>
      <c r="L10" s="209"/>
      <c r="M10" s="209"/>
      <c r="N10" s="210"/>
    </row>
    <row r="11" spans="2:14" ht="15.75" thickBot="1" x14ac:dyDescent="0.3">
      <c r="K11" s="211"/>
      <c r="L11" s="212"/>
      <c r="M11" s="212"/>
      <c r="N11" s="213"/>
    </row>
    <row r="12" spans="2:14" ht="15.75" thickBot="1" x14ac:dyDescent="0.3">
      <c r="B12" s="241" t="s">
        <v>0</v>
      </c>
      <c r="C12" s="242"/>
      <c r="D12" s="42">
        <v>2</v>
      </c>
      <c r="F12" s="222" t="s">
        <v>3</v>
      </c>
      <c r="G12" s="223"/>
      <c r="H12" s="43" t="s">
        <v>4</v>
      </c>
      <c r="K12" s="211"/>
      <c r="L12" s="212"/>
      <c r="M12" s="212"/>
      <c r="N12" s="213"/>
    </row>
    <row r="13" spans="2:14" ht="15.75" thickBot="1" x14ac:dyDescent="0.3">
      <c r="B13" s="243" t="s">
        <v>1</v>
      </c>
      <c r="C13" s="244"/>
      <c r="D13" s="44">
        <f>calculos!D18</f>
        <v>356192.08757474995</v>
      </c>
      <c r="K13" s="214"/>
      <c r="L13" s="215"/>
      <c r="M13" s="215"/>
      <c r="N13" s="216"/>
    </row>
    <row r="16" spans="2:14" ht="15.75" thickBot="1" x14ac:dyDescent="0.3"/>
    <row r="17" spans="2:10" x14ac:dyDescent="0.25">
      <c r="B17" s="226" t="s">
        <v>33</v>
      </c>
      <c r="C17" s="227"/>
      <c r="D17" s="232" t="s">
        <v>45</v>
      </c>
      <c r="E17" s="232"/>
      <c r="F17" s="232"/>
      <c r="G17" s="232"/>
      <c r="H17" s="232"/>
      <c r="I17" s="232"/>
      <c r="J17" s="233"/>
    </row>
    <row r="18" spans="2:10" x14ac:dyDescent="0.25">
      <c r="B18" s="228"/>
      <c r="C18" s="229"/>
      <c r="D18" s="234"/>
      <c r="E18" s="234"/>
      <c r="F18" s="234"/>
      <c r="G18" s="234"/>
      <c r="H18" s="234"/>
      <c r="I18" s="234"/>
      <c r="J18" s="235"/>
    </row>
    <row r="19" spans="2:10" x14ac:dyDescent="0.25">
      <c r="B19" s="228"/>
      <c r="C19" s="229"/>
      <c r="D19" s="234"/>
      <c r="E19" s="234"/>
      <c r="F19" s="234"/>
      <c r="G19" s="234"/>
      <c r="H19" s="234"/>
      <c r="I19" s="234"/>
      <c r="J19" s="235"/>
    </row>
    <row r="20" spans="2:10" ht="15.75" thickBot="1" x14ac:dyDescent="0.3">
      <c r="B20" s="230"/>
      <c r="C20" s="231"/>
      <c r="D20" s="236"/>
      <c r="E20" s="236"/>
      <c r="F20" s="236"/>
      <c r="G20" s="236"/>
      <c r="H20" s="236"/>
      <c r="I20" s="236"/>
      <c r="J20" s="237"/>
    </row>
  </sheetData>
  <sheetProtection algorithmName="SHA-512" hashValue="L+rN58uvK5YT0jZyGMsZLhngibDomePIZ8hvIe+8wnGzKmmK0m160UeXNsLZQ7BCD0aDW/jJmbe8zroWe21OAA==" saltValue="a1kEIL5hSLdLCgT0982SaQ==" spinCount="100000" sheet="1" objects="1" scenarios="1" selectLockedCells="1" sort="0" autoFilter="0"/>
  <mergeCells count="11">
    <mergeCell ref="K10:N13"/>
    <mergeCell ref="C2:F2"/>
    <mergeCell ref="B12:C12"/>
    <mergeCell ref="B17:C20"/>
    <mergeCell ref="D17:J20"/>
    <mergeCell ref="B13:C13"/>
    <mergeCell ref="F12:G12"/>
    <mergeCell ref="F4:G4"/>
    <mergeCell ref="B4:C4"/>
    <mergeCell ref="B5:C5"/>
    <mergeCell ref="B8:F10"/>
  </mergeCells>
  <hyperlinks>
    <hyperlink ref="K7" location="Inicio!A1" display="INICIO" xr:uid="{00000000-0004-0000-0400-000000000000}"/>
    <hyperlink ref="K10:N13" location="Traslado!A1" display="Los valores indicados no incluyen los gastos de traslado, que pueden calcularse haciendo click aquí " xr:uid="{00000000-0004-0000-0400-000001000000}"/>
  </hyperlink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cionar uno" xr:uid="{00000000-0002-0000-0400-000000000000}">
          <x14:formula1>
            <xm:f>calculos!$B$7:$B$8</xm:f>
          </x14:formula1>
          <xm:sqref>H12 H4:H5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B050"/>
  </sheetPr>
  <dimension ref="B1:K22"/>
  <sheetViews>
    <sheetView showGridLines="0" showRowColHeaders="0" workbookViewId="0">
      <selection activeCell="K9" sqref="K9"/>
    </sheetView>
  </sheetViews>
  <sheetFormatPr baseColWidth="10" defaultRowHeight="15" x14ac:dyDescent="0.25"/>
  <cols>
    <col min="1" max="1" width="9" style="48" customWidth="1"/>
    <col min="2" max="2" width="11.42578125" style="48"/>
    <col min="3" max="3" width="13.5703125" style="48" customWidth="1"/>
    <col min="4" max="4" width="13.28515625" style="48" customWidth="1"/>
    <col min="5" max="6" width="11.42578125" style="48"/>
    <col min="7" max="7" width="17.42578125" style="48" customWidth="1"/>
    <col min="8" max="8" width="5.28515625" style="48" customWidth="1"/>
    <col min="9" max="9" width="11.42578125" style="48" customWidth="1"/>
    <col min="10" max="16384" width="11.42578125" style="48"/>
  </cols>
  <sheetData>
    <row r="1" spans="2:11" ht="15.75" thickBot="1" x14ac:dyDescent="0.3"/>
    <row r="2" spans="2:11" ht="15.75" thickBot="1" x14ac:dyDescent="0.3">
      <c r="C2" s="92" t="s">
        <v>52</v>
      </c>
      <c r="D2" s="260"/>
      <c r="E2" s="260"/>
      <c r="F2" s="93"/>
    </row>
    <row r="3" spans="2:11" ht="15.75" thickBot="1" x14ac:dyDescent="0.3"/>
    <row r="4" spans="2:11" ht="15" customHeight="1" x14ac:dyDescent="0.25">
      <c r="B4" s="261" t="s">
        <v>53</v>
      </c>
      <c r="C4" s="262"/>
      <c r="D4" s="40">
        <v>2</v>
      </c>
      <c r="F4" s="208" t="s">
        <v>64</v>
      </c>
      <c r="G4" s="209"/>
      <c r="H4" s="209"/>
      <c r="I4" s="210"/>
    </row>
    <row r="5" spans="2:11" x14ac:dyDescent="0.25">
      <c r="B5" s="254" t="s">
        <v>56</v>
      </c>
      <c r="C5" s="255"/>
      <c r="D5" s="258">
        <v>4</v>
      </c>
      <c r="F5" s="211"/>
      <c r="G5" s="212"/>
      <c r="H5" s="212"/>
      <c r="I5" s="213"/>
    </row>
    <row r="6" spans="2:11" x14ac:dyDescent="0.25">
      <c r="B6" s="256"/>
      <c r="C6" s="257"/>
      <c r="D6" s="259"/>
      <c r="F6" s="211"/>
      <c r="G6" s="212"/>
      <c r="H6" s="212"/>
      <c r="I6" s="213"/>
    </row>
    <row r="7" spans="2:11" ht="26.25" customHeight="1" x14ac:dyDescent="0.25">
      <c r="B7" s="266" t="s">
        <v>65</v>
      </c>
      <c r="C7" s="267"/>
      <c r="D7" s="51">
        <v>4</v>
      </c>
      <c r="F7" s="211"/>
      <c r="G7" s="212"/>
      <c r="H7" s="212"/>
      <c r="I7" s="213"/>
    </row>
    <row r="8" spans="2:11" ht="15.75" thickBot="1" x14ac:dyDescent="0.3">
      <c r="B8" s="264" t="s">
        <v>55</v>
      </c>
      <c r="C8" s="265"/>
      <c r="D8" s="41">
        <f>calculos!I28</f>
        <v>401729.76</v>
      </c>
      <c r="F8" s="214"/>
      <c r="G8" s="215"/>
      <c r="H8" s="215"/>
      <c r="I8" s="216"/>
    </row>
    <row r="9" spans="2:11" ht="15.75" thickBot="1" x14ac:dyDescent="0.3">
      <c r="K9" s="39" t="s">
        <v>50</v>
      </c>
    </row>
    <row r="11" spans="2:11" x14ac:dyDescent="0.25">
      <c r="B11" s="263"/>
      <c r="C11" s="263"/>
      <c r="D11" s="263"/>
      <c r="E11" s="263"/>
      <c r="F11" s="263"/>
    </row>
    <row r="12" spans="2:11" x14ac:dyDescent="0.25">
      <c r="B12" s="263"/>
      <c r="C12" s="263"/>
      <c r="D12" s="263"/>
      <c r="E12" s="263"/>
      <c r="F12" s="263"/>
    </row>
    <row r="13" spans="2:11" ht="15.75" thickBot="1" x14ac:dyDescent="0.3"/>
    <row r="14" spans="2:11" x14ac:dyDescent="0.25">
      <c r="B14" s="226" t="s">
        <v>33</v>
      </c>
      <c r="C14" s="227"/>
      <c r="D14" s="232" t="s">
        <v>91</v>
      </c>
      <c r="E14" s="232"/>
      <c r="F14" s="232"/>
      <c r="G14" s="232"/>
      <c r="H14" s="232"/>
      <c r="I14" s="232"/>
      <c r="J14" s="233"/>
    </row>
    <row r="15" spans="2:11" x14ac:dyDescent="0.25">
      <c r="B15" s="228"/>
      <c r="C15" s="229"/>
      <c r="D15" s="234"/>
      <c r="E15" s="234"/>
      <c r="F15" s="234"/>
      <c r="G15" s="234"/>
      <c r="H15" s="234"/>
      <c r="I15" s="234"/>
      <c r="J15" s="235"/>
    </row>
    <row r="16" spans="2:11" x14ac:dyDescent="0.25">
      <c r="B16" s="228"/>
      <c r="C16" s="229"/>
      <c r="D16" s="234"/>
      <c r="E16" s="234"/>
      <c r="F16" s="234"/>
      <c r="G16" s="234"/>
      <c r="H16" s="234"/>
      <c r="I16" s="234"/>
      <c r="J16" s="235"/>
    </row>
    <row r="17" spans="2:10" ht="15.75" thickBot="1" x14ac:dyDescent="0.3">
      <c r="B17" s="230"/>
      <c r="C17" s="231"/>
      <c r="D17" s="236"/>
      <c r="E17" s="236"/>
      <c r="F17" s="236"/>
      <c r="G17" s="236"/>
      <c r="H17" s="236"/>
      <c r="I17" s="236"/>
      <c r="J17" s="237"/>
    </row>
    <row r="19" spans="2:10" ht="15.75" customHeight="1" x14ac:dyDescent="0.25"/>
    <row r="20" spans="2:10" ht="15.75" customHeight="1" x14ac:dyDescent="0.25"/>
    <row r="21" spans="2:10" ht="15.75" customHeight="1" x14ac:dyDescent="0.25"/>
    <row r="22" spans="2:10" ht="16.5" customHeight="1" x14ac:dyDescent="0.25"/>
  </sheetData>
  <sheetProtection algorithmName="SHA-512" hashValue="aauZQLhMPJ/WNe2Hs5gh3w9DRgVzHJd758sK9yI8wihSoY2nBjkbs44i6ikS/wnDl1MHwLJh4FZ7xblQvPasCA==" saltValue="uk69N9BZBtR3XEqwuKREFw==" spinCount="100000" sheet="1" objects="1" scenarios="1" selectLockedCells="1"/>
  <mergeCells count="10">
    <mergeCell ref="B5:C6"/>
    <mergeCell ref="D5:D6"/>
    <mergeCell ref="B14:C17"/>
    <mergeCell ref="D14:J17"/>
    <mergeCell ref="C2:F2"/>
    <mergeCell ref="B4:C4"/>
    <mergeCell ref="B11:F12"/>
    <mergeCell ref="B8:C8"/>
    <mergeCell ref="F4:I8"/>
    <mergeCell ref="B7:C7"/>
  </mergeCells>
  <hyperlinks>
    <hyperlink ref="K9" location="Inicio!A1" display="INICIO" xr:uid="{00000000-0004-0000-0500-000000000000}"/>
  </hyperlink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tabColor rgb="FF00B0F0"/>
  </sheetPr>
  <dimension ref="B3:P15"/>
  <sheetViews>
    <sheetView showGridLines="0" showRowColHeaders="0" workbookViewId="0">
      <selection activeCell="F4" sqref="F4"/>
    </sheetView>
  </sheetViews>
  <sheetFormatPr baseColWidth="10" defaultRowHeight="15" x14ac:dyDescent="0.25"/>
  <sheetData>
    <row r="3" spans="2:16" x14ac:dyDescent="0.25">
      <c r="B3" s="268" t="s">
        <v>84</v>
      </c>
      <c r="C3" s="269"/>
      <c r="D3" s="269"/>
      <c r="E3" s="270"/>
      <c r="F3" s="61">
        <v>9</v>
      </c>
    </row>
    <row r="4" spans="2:16" x14ac:dyDescent="0.25">
      <c r="B4" s="65" t="s">
        <v>85</v>
      </c>
      <c r="C4" s="65"/>
      <c r="D4" s="65"/>
      <c r="E4" s="66"/>
      <c r="F4" s="67">
        <f>F3*calculos!I36</f>
        <v>2477333.5199999996</v>
      </c>
    </row>
    <row r="5" spans="2:16" ht="15.75" thickBot="1" x14ac:dyDescent="0.3"/>
    <row r="6" spans="2:16" ht="15.75" thickBot="1" x14ac:dyDescent="0.3">
      <c r="M6" s="34" t="s">
        <v>50</v>
      </c>
    </row>
    <row r="9" spans="2:16" ht="15.75" thickBot="1" x14ac:dyDescent="0.3"/>
    <row r="10" spans="2:16" x14ac:dyDescent="0.25">
      <c r="B10" s="226" t="s">
        <v>33</v>
      </c>
      <c r="C10" s="227"/>
      <c r="D10" s="232" t="s">
        <v>45</v>
      </c>
      <c r="E10" s="232"/>
      <c r="F10" s="232"/>
      <c r="G10" s="232"/>
      <c r="H10" s="232"/>
      <c r="I10" s="232"/>
      <c r="J10" s="233"/>
    </row>
    <row r="11" spans="2:16" ht="15.75" thickBot="1" x14ac:dyDescent="0.3">
      <c r="B11" s="228"/>
      <c r="C11" s="229"/>
      <c r="D11" s="234"/>
      <c r="E11" s="234"/>
      <c r="F11" s="234"/>
      <c r="G11" s="234"/>
      <c r="H11" s="234"/>
      <c r="I11" s="234"/>
      <c r="J11" s="235"/>
    </row>
    <row r="12" spans="2:16" ht="15" customHeight="1" x14ac:dyDescent="0.25">
      <c r="B12" s="228"/>
      <c r="C12" s="229"/>
      <c r="D12" s="234"/>
      <c r="E12" s="234"/>
      <c r="F12" s="234"/>
      <c r="G12" s="234"/>
      <c r="H12" s="234"/>
      <c r="I12" s="234"/>
      <c r="J12" s="235"/>
      <c r="M12" s="208" t="s">
        <v>64</v>
      </c>
      <c r="N12" s="209"/>
      <c r="O12" s="209"/>
      <c r="P12" s="210"/>
    </row>
    <row r="13" spans="2:16" ht="15.75" thickBot="1" x14ac:dyDescent="0.3">
      <c r="B13" s="230"/>
      <c r="C13" s="231"/>
      <c r="D13" s="236"/>
      <c r="E13" s="236"/>
      <c r="F13" s="236"/>
      <c r="G13" s="236"/>
      <c r="H13" s="236"/>
      <c r="I13" s="236"/>
      <c r="J13" s="237"/>
      <c r="M13" s="211"/>
      <c r="N13" s="212"/>
      <c r="O13" s="212"/>
      <c r="P13" s="213"/>
    </row>
    <row r="14" spans="2:16" x14ac:dyDescent="0.25">
      <c r="M14" s="211"/>
      <c r="N14" s="212"/>
      <c r="O14" s="212"/>
      <c r="P14" s="213"/>
    </row>
    <row r="15" spans="2:16" ht="15.75" thickBot="1" x14ac:dyDescent="0.3">
      <c r="M15" s="214"/>
      <c r="N15" s="215"/>
      <c r="O15" s="215"/>
      <c r="P15" s="216"/>
    </row>
  </sheetData>
  <sheetProtection algorithmName="SHA-512" hashValue="P6ulZYMKH4a7VJRwOP4eTKcNGoYmpX9ROwxgOJllLafCo+c5kPg6P9LxT4+G47VCdtyomJiB9m6hiq6Bz8JY7w==" saltValue="lRjXKloI23BW9JylB/CwoQ==" spinCount="100000" sheet="1" objects="1" scenarios="1"/>
  <mergeCells count="4">
    <mergeCell ref="B3:E3"/>
    <mergeCell ref="B10:C13"/>
    <mergeCell ref="D10:J13"/>
    <mergeCell ref="M12:P15"/>
  </mergeCells>
  <hyperlinks>
    <hyperlink ref="M6" location="Inicio!A1" display="INICIO" xr:uid="{00000000-0004-0000-0600-000000000000}"/>
    <hyperlink ref="M12:P15" location="Traslado!A1" display="Los valores indicados no incluyen los gastos de traslado, que pueden calcularse haciendo click aquí " xr:uid="{00000000-0004-0000-0600-000001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>
    <tabColor theme="1" tint="0.499984740745262"/>
  </sheetPr>
  <dimension ref="B2:O15"/>
  <sheetViews>
    <sheetView showGridLines="0" showRowColHeaders="0" workbookViewId="0">
      <selection activeCell="J7" sqref="J7"/>
    </sheetView>
  </sheetViews>
  <sheetFormatPr baseColWidth="10" defaultRowHeight="15" x14ac:dyDescent="0.25"/>
  <cols>
    <col min="3" max="3" width="14.42578125" customWidth="1"/>
    <col min="8" max="8" width="20.85546875" customWidth="1"/>
  </cols>
  <sheetData>
    <row r="2" spans="2:15" ht="15.75" thickBot="1" x14ac:dyDescent="0.3"/>
    <row r="3" spans="2:15" ht="15.75" thickBot="1" x14ac:dyDescent="0.3">
      <c r="B3" s="273" t="s">
        <v>68</v>
      </c>
      <c r="C3" s="274"/>
      <c r="D3" s="57">
        <v>12</v>
      </c>
      <c r="G3" s="52" t="s">
        <v>3</v>
      </c>
      <c r="H3" s="53"/>
      <c r="I3" s="43" t="s">
        <v>4</v>
      </c>
    </row>
    <row r="4" spans="2:15" ht="15.75" thickBot="1" x14ac:dyDescent="0.3">
      <c r="B4" s="271" t="s">
        <v>1</v>
      </c>
      <c r="C4" s="272"/>
      <c r="D4" s="44">
        <f>calculos!K43</f>
        <v>581764.2080000001</v>
      </c>
    </row>
    <row r="5" spans="2:15" x14ac:dyDescent="0.25">
      <c r="L5" s="3"/>
    </row>
    <row r="6" spans="2:15" ht="15.75" thickBot="1" x14ac:dyDescent="0.3">
      <c r="L6" s="3"/>
    </row>
    <row r="7" spans="2:15" ht="15.75" thickBot="1" x14ac:dyDescent="0.3">
      <c r="B7" s="275" t="s">
        <v>76</v>
      </c>
      <c r="C7" s="276"/>
      <c r="D7" s="276"/>
      <c r="E7" s="276"/>
      <c r="F7" s="277"/>
      <c r="J7" s="34" t="s">
        <v>50</v>
      </c>
      <c r="L7" s="3"/>
    </row>
    <row r="8" spans="2:15" x14ac:dyDescent="0.25">
      <c r="L8" s="3"/>
    </row>
    <row r="9" spans="2:15" x14ac:dyDescent="0.25">
      <c r="L9" s="3"/>
    </row>
    <row r="11" spans="2:15" ht="15.75" thickBot="1" x14ac:dyDescent="0.3"/>
    <row r="12" spans="2:15" x14ac:dyDescent="0.25">
      <c r="B12" s="226" t="s">
        <v>33</v>
      </c>
      <c r="C12" s="227"/>
      <c r="D12" s="232" t="s">
        <v>45</v>
      </c>
      <c r="E12" s="232"/>
      <c r="F12" s="232"/>
      <c r="G12" s="232"/>
      <c r="H12" s="232"/>
      <c r="I12" s="232"/>
      <c r="J12" s="233"/>
      <c r="K12" s="48"/>
      <c r="L12" s="208" t="s">
        <v>64</v>
      </c>
      <c r="M12" s="209"/>
      <c r="N12" s="209"/>
      <c r="O12" s="210"/>
    </row>
    <row r="13" spans="2:15" x14ac:dyDescent="0.25">
      <c r="B13" s="228"/>
      <c r="C13" s="229"/>
      <c r="D13" s="234"/>
      <c r="E13" s="234"/>
      <c r="F13" s="234"/>
      <c r="G13" s="234"/>
      <c r="H13" s="234"/>
      <c r="I13" s="234"/>
      <c r="J13" s="235"/>
      <c r="K13" s="48"/>
      <c r="L13" s="211"/>
      <c r="M13" s="212"/>
      <c r="N13" s="212"/>
      <c r="O13" s="213"/>
    </row>
    <row r="14" spans="2:15" x14ac:dyDescent="0.25">
      <c r="B14" s="228"/>
      <c r="C14" s="229"/>
      <c r="D14" s="234"/>
      <c r="E14" s="234"/>
      <c r="F14" s="234"/>
      <c r="G14" s="234"/>
      <c r="H14" s="234"/>
      <c r="I14" s="234"/>
      <c r="J14" s="235"/>
      <c r="K14" s="48"/>
      <c r="L14" s="211"/>
      <c r="M14" s="212"/>
      <c r="N14" s="212"/>
      <c r="O14" s="213"/>
    </row>
    <row r="15" spans="2:15" ht="15.75" thickBot="1" x14ac:dyDescent="0.3">
      <c r="B15" s="230"/>
      <c r="C15" s="231"/>
      <c r="D15" s="236"/>
      <c r="E15" s="236"/>
      <c r="F15" s="236"/>
      <c r="G15" s="236"/>
      <c r="H15" s="236"/>
      <c r="I15" s="236"/>
      <c r="J15" s="237"/>
      <c r="K15" s="48"/>
      <c r="L15" s="214"/>
      <c r="M15" s="215"/>
      <c r="N15" s="215"/>
      <c r="O15" s="216"/>
    </row>
  </sheetData>
  <sheetProtection algorithmName="SHA-512" hashValue="IpwdWeyukBS7/5K56RXwc2t0nqmrOuuoaDsDQOhVvnZq1XhaIVX6zC12bPpq9SQZLt12fisJ2Y4BjLfC9T8Tmg==" saltValue="eoPBhhYnW9bnk6SzAAIlVw==" spinCount="100000" sheet="1" objects="1" scenarios="1"/>
  <mergeCells count="6">
    <mergeCell ref="B12:C15"/>
    <mergeCell ref="D12:J15"/>
    <mergeCell ref="L12:O15"/>
    <mergeCell ref="B4:C4"/>
    <mergeCell ref="B3:C3"/>
    <mergeCell ref="B7:F7"/>
  </mergeCells>
  <hyperlinks>
    <hyperlink ref="J7" location="Inicio!A1" display="INICIO" xr:uid="{00000000-0004-0000-0700-000000000000}"/>
    <hyperlink ref="L12:O15" location="Traslado!A1" display="Los valores indicados no incluyen los gastos de traslado, que pueden calcularse haciendo click aquí " xr:uid="{00000000-0004-0000-0700-000001000000}"/>
  </hyperlink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cionar uno" xr:uid="{00000000-0002-0000-0700-000000000000}">
          <x14:formula1>
            <xm:f>calculos!$B$7:$B$8</xm:f>
          </x14:formula1>
          <xm:sqref>I3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>
    <tabColor rgb="FF7030A0"/>
  </sheetPr>
  <dimension ref="A1:H11"/>
  <sheetViews>
    <sheetView showGridLines="0" showRowColHeaders="0" workbookViewId="0">
      <selection activeCell="H9" sqref="H9"/>
    </sheetView>
  </sheetViews>
  <sheetFormatPr baseColWidth="10" defaultRowHeight="15" x14ac:dyDescent="0.25"/>
  <cols>
    <col min="1" max="1" width="11.42578125" style="48"/>
    <col min="2" max="2" width="18.42578125" style="48" customWidth="1"/>
    <col min="3" max="3" width="16" style="48" customWidth="1"/>
    <col min="4" max="4" width="11.42578125" style="48"/>
    <col min="5" max="5" width="16" style="48" customWidth="1"/>
    <col min="6" max="6" width="17.140625" style="48" customWidth="1"/>
    <col min="7" max="7" width="14.85546875" style="48" customWidth="1"/>
    <col min="8" max="8" width="15.42578125" style="48" customWidth="1"/>
    <col min="9" max="16384" width="11.42578125" style="48"/>
  </cols>
  <sheetData>
    <row r="1" spans="1:8" ht="15.75" thickBot="1" x14ac:dyDescent="0.3"/>
    <row r="2" spans="1:8" ht="15.75" thickBot="1" x14ac:dyDescent="0.3">
      <c r="B2" s="282" t="s">
        <v>66</v>
      </c>
      <c r="C2" s="283"/>
    </row>
    <row r="3" spans="1:8" ht="15.75" thickBot="1" x14ac:dyDescent="0.3"/>
    <row r="4" spans="1:8" ht="15.75" thickBot="1" x14ac:dyDescent="0.3">
      <c r="B4" s="284" t="s">
        <v>77</v>
      </c>
      <c r="C4" s="285"/>
      <c r="D4" s="72">
        <v>80</v>
      </c>
      <c r="E4" s="69" t="s">
        <v>78</v>
      </c>
      <c r="F4" s="68" t="s">
        <v>80</v>
      </c>
      <c r="G4" s="69" t="s">
        <v>86</v>
      </c>
      <c r="H4" s="68" t="s">
        <v>88</v>
      </c>
    </row>
    <row r="5" spans="1:8" ht="15.75" thickBot="1" x14ac:dyDescent="0.3">
      <c r="B5" s="286" t="s">
        <v>57</v>
      </c>
      <c r="C5" s="287"/>
      <c r="D5" s="71">
        <f>calculos!L27</f>
        <v>150336</v>
      </c>
      <c r="E5" s="70"/>
    </row>
    <row r="6" spans="1:8" x14ac:dyDescent="0.25">
      <c r="A6" s="63"/>
      <c r="B6" s="62" t="s">
        <v>81</v>
      </c>
      <c r="C6" s="75">
        <v>2320</v>
      </c>
    </row>
    <row r="8" spans="1:8" ht="15.75" thickBot="1" x14ac:dyDescent="0.3"/>
    <row r="9" spans="1:8" ht="15.75" thickBot="1" x14ac:dyDescent="0.3">
      <c r="B9" s="288" t="s">
        <v>59</v>
      </c>
      <c r="C9" s="289"/>
      <c r="D9" s="289"/>
      <c r="E9" s="290"/>
      <c r="H9" s="39" t="s">
        <v>50</v>
      </c>
    </row>
    <row r="10" spans="1:8" x14ac:dyDescent="0.25">
      <c r="B10" s="291" t="s">
        <v>60</v>
      </c>
      <c r="C10" s="292"/>
      <c r="D10" s="293">
        <v>3</v>
      </c>
      <c r="E10" s="294"/>
    </row>
    <row r="11" spans="1:8" ht="15.75" thickBot="1" x14ac:dyDescent="0.3">
      <c r="B11" s="278" t="s">
        <v>61</v>
      </c>
      <c r="C11" s="279"/>
      <c r="D11" s="280">
        <f>calculos!B38</f>
        <v>505788.92700000003</v>
      </c>
      <c r="E11" s="281"/>
    </row>
  </sheetData>
  <sheetProtection algorithmName="SHA-512" hashValue="CKT0RT8an0lS2FbJhyBl5ZsflxZinEo3j6pNcAphh3goxMgvoaTL7d9LN1F2b/IrTc1G6HpxFrzD7zGTNmfY/w==" saltValue="TKIrxuLtWPUl1gGvbnTfog==" spinCount="100000" sheet="1"/>
  <mergeCells count="8">
    <mergeCell ref="B11:C11"/>
    <mergeCell ref="D11:E11"/>
    <mergeCell ref="B2:C2"/>
    <mergeCell ref="B4:C4"/>
    <mergeCell ref="B5:C5"/>
    <mergeCell ref="B9:E9"/>
    <mergeCell ref="B10:C10"/>
    <mergeCell ref="D10:E10"/>
  </mergeCells>
  <hyperlinks>
    <hyperlink ref="H9" location="Inicio!A1" display="INICIO" xr:uid="{00000000-0004-0000-0800-000000000000}"/>
  </hyperlinks>
  <pageMargins left="0.7" right="0.7" top="0.75" bottom="0.75" header="0.3" footer="0.3"/>
  <pageSetup paperSize="9" orientation="portrait" horizontalDpi="0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0000000}">
          <x14:formula1>
            <xm:f>calculos!$N$26:$N$27</xm:f>
          </x14:formula1>
          <xm:sqref>F4</xm:sqref>
        </x14:dataValidation>
        <x14:dataValidation type="list" allowBlank="1" showInputMessage="1" showErrorMessage="1" xr:uid="{00000000-0002-0000-0800-000001000000}">
          <x14:formula1>
            <xm:f>calculos!$N$29:$N$31</xm:f>
          </x14:formula1>
          <xm:sqref>H4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R O D W W f 8 u b S l A A A A 9 w A A A B I A H A B D b 2 5 m a W c v U G F j a 2 F n Z S 5 4 b W w g o h g A K K A U A A A A A A A A A A A A A A A A A A A A A A A A A A A A h Y 9 B D o I w F E S v Q r q n L T U h Q j 4 l x q 0 k R h P j t q k V G q E Y W i x 3 c + G R v I I Y R d 2 5 n D d v M X O / 3 i A f m j q 4 q M 7 q 1 m Q o w h Q F y s j 2 o E 2 Z o d 4 d w z n K O a y F P I l S B a N s b D r Y Q 4 Y q 5 8 4 p I d 5 7 7 G e 4 7 U r C K I 3 I v l h t Z a U a g T 6 y / i + H 2 l g n j F S I w + 4 1 h j O c x D h K 4 p h h C m S i U G j z N d g 4 + N n + Q F j 2 t e s 7 x Z U N F x s g U w T y P s E f U E s D B B Q A A g A I A J 0 T g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E 4 N Z K I p H u A 4 A A A A R A A A A E w A c A E Z v c m 1 1 b G F z L 1 N l Y 3 R p b 2 4 x L m 0 g o h g A K K A U A A A A A A A A A A A A A A A A A A A A A A A A A A A A K 0 5 N L s n M z 1 M I h t C G 1 g B Q S w E C L Q A U A A I A C A C d E 4 N Z Z / y 5 t K U A A A D 3 A A A A E g A A A A A A A A A A A A A A A A A A A A A A Q 2 9 u Z m l n L 1 B h Y 2 t h Z 2 U u e G 1 s U E s B A i 0 A F A A C A A g A n R O D W Q / K 6 a u k A A A A 6 Q A A A B M A A A A A A A A A A A A A A A A A 8 Q A A A F t D b 2 5 0 Z W 5 0 X 1 R 5 c G V z X S 5 4 b W x Q S w E C L Q A U A A I A C A C d E 4 N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G P x 3 d Z C 3 E y a E l I G k M z U z Q A A A A A C A A A A A A A Q Z g A A A A E A A C A A A A B + U b S W n I V S t q K z Q Y L X f r T s 5 b N R o m F R e U i + O C W l 2 f Q Q y Q A A A A A O g A A A A A I A A C A A A A D 4 z 5 T Y D L 4 q D G + 6 W J z Y w r p 1 Y 4 l u U c H Q a c T k G r O S T k i p + V A A A A B x w 6 8 M x X o + Y J / Y l o q h n q f O I y w S s V v b X S M K c P T W L 7 f J n 8 i Q w v 1 0 T F 2 h 2 N g N 4 I p r L S D R Q C b i U k e j 6 n g w J 3 p 3 O q 9 P m u Q P I q T x n e m 3 H 3 z J H W L b U E A A A A B y Y L m m c V F x P q a i G 2 e i p S K b w P D o u J o a a z t r S 6 / D s W m x K w m 4 b O o U r v 2 1 x N B V A 1 K R V R O E a V X h q y i S y N k d b / U A X A t l < / D a t a M a s h u p > 
</file>

<file path=customXml/itemProps1.xml><?xml version="1.0" encoding="utf-8"?>
<ds:datastoreItem xmlns:ds="http://schemas.openxmlformats.org/officeDocument/2006/customXml" ds:itemID="{1C9E20BC-F77D-4A6A-9D9D-3079DBCEDB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Inicio</vt:lpstr>
      <vt:lpstr>Servicio de HyS (excepto Const)</vt:lpstr>
      <vt:lpstr>Servicio de HyS Constr</vt:lpstr>
      <vt:lpstr>Medicion de Iluminacion</vt:lpstr>
      <vt:lpstr>Medicion de Ruido Laboral</vt:lpstr>
      <vt:lpstr>Medicion de Puesta a Tierra</vt:lpstr>
      <vt:lpstr>Ergonomia</vt:lpstr>
      <vt:lpstr>Carga Termica</vt:lpstr>
      <vt:lpstr>Traslado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egea</dc:creator>
  <cp:lastModifiedBy>ariel egea</cp:lastModifiedBy>
  <dcterms:created xsi:type="dcterms:W3CDTF">2024-11-29T23:19:42Z</dcterms:created>
  <dcterms:modified xsi:type="dcterms:W3CDTF">2026-07-21T13:14:40Z</dcterms:modified>
</cp:coreProperties>
</file>